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8.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9.xml" ContentType="application/vnd.openxmlformats-officedocument.drawingml.chartshapes+xml"/>
  <Override PartName="/xl/drawings/drawing10.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11.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drawings/drawing1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mc:AlternateContent xmlns:mc="http://schemas.openxmlformats.org/markup-compatibility/2006">
    <mc:Choice Requires="x15">
      <x15ac:absPath xmlns:x15ac="http://schemas.microsoft.com/office/spreadsheetml/2010/11/ac" url="https://icfonline-my.sharepoint.com/personal/39712_icf_com/Documents/Drupal Updates/"/>
    </mc:Choice>
  </mc:AlternateContent>
  <xr:revisionPtr revIDLastSave="0" documentId="8_{927AF372-1F21-4531-BBC5-2172B982B748}" xr6:coauthVersionLast="47" xr6:coauthVersionMax="47" xr10:uidLastSave="{00000000-0000-0000-0000-000000000000}"/>
  <bookViews>
    <workbookView xWindow="-110" yWindow="-110" windowWidth="22780" windowHeight="14660" tabRatio="820" xr2:uid="{EF8BEF83-F9F6-4C14-9FC2-ACC671BC42A0}"/>
  </bookViews>
  <sheets>
    <sheet name="1. Introduction" sheetId="30" r:id="rId1"/>
    <sheet name="2. Version 3.0 Criteria" sheetId="29" r:id="rId2"/>
    <sheet name="3. Energy and Cost Savings" sheetId="27" r:id="rId3"/>
    <sheet name="4. Incremental Cost and Payback" sheetId="135" r:id="rId4"/>
    <sheet name="5. Oven Data" sheetId="93" r:id="rId5"/>
    <sheet name="6. Elec. Combi 5-40 Pans Charts" sheetId="145" r:id="rId6"/>
    <sheet name="7. Elec. 3-4 Pan and 2_3 Charts" sheetId="146" r:id="rId7"/>
    <sheet name="8. Gas Combi Charts" sheetId="147" r:id="rId8"/>
    <sheet name="9. Electric Convection Charts" sheetId="148" r:id="rId9"/>
    <sheet name="10. Gas Convection Chart" sheetId="149" r:id="rId10"/>
    <sheet name="11. Gas Rack Charts" sheetId="150" r:id="rId11"/>
    <sheet name="12.Water Consump. Charts_Data" sheetId="134" r:id="rId12"/>
    <sheet name="13. MS ENERGY STAR" sheetId="115" r:id="rId13"/>
    <sheet name="Graph Electric combi Full+half" sheetId="74" state="hidden" r:id="rId14"/>
    <sheet name="water consump. (2)" sheetId="130" state="hidden" r:id="rId15"/>
    <sheet name="OldData_full+half_combiE" sheetId="75" state="hidden" r:id="rId16"/>
    <sheet name="OldGraph_2_3rd_CombiE" sheetId="78" state="hidden" r:id="rId17"/>
    <sheet name="OldData_2_3rd_CombiE" sheetId="79" state="hidden" r:id="rId18"/>
  </sheets>
  <externalReferences>
    <externalReference r:id="rId19"/>
  </externalReferences>
  <definedNames>
    <definedName name="_xlnm._FilterDatabase" localSheetId="4" hidden="1">'5. Oven Data'!$A$2:$Y$437</definedName>
    <definedName name="_xlnm._FilterDatabase" localSheetId="17" hidden="1">OldData_2_3rd_CombiE!$B$1:$U$8</definedName>
    <definedName name="_xlnm._FilterDatabase" localSheetId="15" hidden="1">'OldData_full+half_combiE'!$A$1:$Y$125</definedName>
    <definedName name="additional_time_for_preheating__hr1">#REF!</definedName>
    <definedName name="additional_time_for_preheating__hr2">#REF!</definedName>
    <definedName name="additional_time_for_preheating__hr3">#REF!</definedName>
    <definedName name="additional_time_for_preheating__hr4">#REF!</definedName>
    <definedName name="additional_time_for_preheating__hr5">#REF!</definedName>
    <definedName name="additional_time_for_preheating__hr6">#REF!</definedName>
    <definedName name="additional_time_for_preheating__hr7">#REF!</definedName>
    <definedName name="additional_time_for_preheating__hr8">#REF!</definedName>
    <definedName name="Annual_days_operation1">#REF!</definedName>
    <definedName name="Annual_days_operation2">#REF!</definedName>
    <definedName name="Annual_days_operation3">#REF!</definedName>
    <definedName name="Annual_days_operation4">#REF!</definedName>
    <definedName name="Annual_days_operation5">#REF!</definedName>
    <definedName name="Annual_days_operation6">#REF!</definedName>
    <definedName name="Annual_days_operation7">#REF!</definedName>
    <definedName name="Annual_days_operation8">#REF!</definedName>
    <definedName name="Average_daily_hours_operation1">#REF!</definedName>
    <definedName name="Average_daily_hours_operation2">#REF!</definedName>
    <definedName name="Average_daily_hours_operation3">#REF!</definedName>
    <definedName name="Average_daily_hours_operation4">#REF!</definedName>
    <definedName name="Average_daily_hours_operation5">#REF!</definedName>
    <definedName name="Average_daily_hours_operation6">#REF!</definedName>
    <definedName name="Average_daily_hours_operation7">#REF!</definedName>
    <definedName name="Average_daily_hours_operation8">#REF!</definedName>
    <definedName name="Average_Net_Energy_Cost_Baseline_Product1">#REF!</definedName>
    <definedName name="Average_Net_Energy_Cost_Baseline_Product2">#REF!</definedName>
    <definedName name="Average_Net_Energy_Cost_Baseline_Product3">#REF!</definedName>
    <definedName name="Average_Net_Energy_Cost_Baseline_Product4">#REF!</definedName>
    <definedName name="Average_Net_Energy_Cost_Baseline_Product5">#REF!</definedName>
    <definedName name="Average_Net_Energy_Cost_Baseline_Product6">#REF!</definedName>
    <definedName name="Average_Net_Energy_Cost_Baseline_Product7">#REF!</definedName>
    <definedName name="Average_Net_Energy_Cost_Baseline_Product8">#REF!</definedName>
    <definedName name="Average_Net_Energy_Cost_V3_Product1">#REF!</definedName>
    <definedName name="Average_Net_Energy_Cost_V3_Product2">#REF!</definedName>
    <definedName name="Average_Net_Energy_Cost_V3_Product3">#REF!</definedName>
    <definedName name="Average_Net_Energy_Cost_V3_Product4">#REF!</definedName>
    <definedName name="Average_Net_Energy_Cost_V3_Product5">#REF!</definedName>
    <definedName name="Average_Net_Energy_Cost_V3_Product6">#REF!</definedName>
    <definedName name="Average_Net_Energy_Cost_V3_Product7">#REF!</definedName>
    <definedName name="Average_Net_Energy_Cost_V3_Product8">#REF!</definedName>
    <definedName name="Average_Total_Energy_Baseline_Product1">#REF!</definedName>
    <definedName name="Average_Total_Energy_Baseline_Product2">#REF!</definedName>
    <definedName name="Average_Total_Energy_Baseline_Product3">#REF!</definedName>
    <definedName name="Average_Total_Energy_Baseline_Product4">#REF!</definedName>
    <definedName name="Average_Total_Energy_Baseline_Product5">#REF!</definedName>
    <definedName name="Average_Total_Energy_Baseline_Product6">#REF!</definedName>
    <definedName name="Average_Total_Energy_Baseline_Product7">#REF!</definedName>
    <definedName name="Average_Total_Energy_Baseline_Product8">#REF!</definedName>
    <definedName name="Average_Total_Energy_V3_Product1">#REF!</definedName>
    <definedName name="Average_Total_Energy_V3_Product2">#REF!</definedName>
    <definedName name="Average_Total_Energy_V3_Product3">#REF!</definedName>
    <definedName name="Average_Total_Energy_V3_Product4">#REF!</definedName>
    <definedName name="Average_Total_Energy_V3_Product5">#REF!</definedName>
    <definedName name="Average_Total_Energy_V3_Product6">#REF!</definedName>
    <definedName name="Average_Total_Energy_V3_Product7">#REF!</definedName>
    <definedName name="Average_Total_Energy_V3_Product8">#REF!</definedName>
    <definedName name="BTU_to_Therms_Conversion">#REF!</definedName>
    <definedName name="Conversion_Therm_to_kWh">#REF!</definedName>
    <definedName name="EffectiveYear">#REF!</definedName>
    <definedName name="EmissionFactor_Therm">#REF!</definedName>
    <definedName name="EmissionsFactor_kWh">#REF!</definedName>
    <definedName name="Energy_for_Convection_Cooking_kW1">#REF!</definedName>
    <definedName name="Energy_for_Convection_Cooking_kW3">#REF!</definedName>
    <definedName name="Energy_for_Convection_Cooking_kW4">#REF!</definedName>
    <definedName name="Energy_for_Convection_Cooking_kW5">#REF!</definedName>
    <definedName name="Energy_for_Convection_Cooking_Therms2">#REF!</definedName>
    <definedName name="Energy_for_Convection_Cooking_Therms6">#REF!</definedName>
    <definedName name="Energy_for_Convection_Cooking_Therms7">#REF!</definedName>
    <definedName name="Energy_for_Convection_Cooking_Therms8">#REF!</definedName>
    <definedName name="Energy_for_Steam_Cooking_kW1">#REF!</definedName>
    <definedName name="Energy_for_Steam_Cooking_kW3">#REF!</definedName>
    <definedName name="Energy_for_Steam_Cooking_Therms2">#REF!</definedName>
    <definedName name="Perc_Convection_Mode1">#REF!</definedName>
    <definedName name="Perc_Convection_Mode2">#REF!</definedName>
    <definedName name="Perc_Convection_Mode3">#REF!</definedName>
    <definedName name="Perc_Convection_Mode4">#REF!</definedName>
    <definedName name="Perc_Convection_Mode5">#REF!</definedName>
    <definedName name="Perc_Convection_Mode6">#REF!</definedName>
    <definedName name="Perc_Convection_Mode7">#REF!</definedName>
    <definedName name="Perc_Convection_Mode8">#REF!</definedName>
    <definedName name="Perc_Steam_Mode1">#REF!</definedName>
    <definedName name="Perc_Steam_Mode2">#REF!</definedName>
    <definedName name="Perc_Steam_Mode3">#REF!</definedName>
    <definedName name="Percentages_Market_Combi_Pan_Size">#REF!</definedName>
    <definedName name="Pounds_of_food_cooked_per_day_ASSUMPTION1">#REF!</definedName>
    <definedName name="Pounds_of_food_cooked_per_day_ASSUMPTION2">#REF!</definedName>
    <definedName name="Pounds_of_food_cooked_per_day_ASSUMPTION3">#REF!</definedName>
    <definedName name="Pounds_of_food_cooked_per_day_ASSUMPTION4">#REF!</definedName>
    <definedName name="Pounds_of_food_cooked_per_day_ASSUMPTION5">#REF!</definedName>
    <definedName name="Pounds_of_food_cooked_per_day_ASSUMPTION6">#REF!</definedName>
    <definedName name="Pounds_of_food_cooked_per_day_ASSUMPTION7">#REF!</definedName>
    <definedName name="Pounds_of_food_cooked_per_day_ASSUMPTION8">#REF!</definedName>
    <definedName name="ProductLifetime">#REF!</definedName>
    <definedName name="Written_Documentation">#REF!</definedName>
    <definedName name="Z_D3B96324_F501_48FE_9FB5_D5CAA0435798_.wvu.FilterData" localSheetId="4" hidden="1">'5. Oven Data'!$C$2:$S$150</definedName>
    <definedName name="Z_D3B96324_F501_48FE_9FB5_D5CAA0435798_.wvu.FilterData" localSheetId="17" hidden="1">OldData_2_3rd_CombiE!$B$1:$U$8</definedName>
    <definedName name="Z_D3B96324_F501_48FE_9FB5_D5CAA0435798_.wvu.FilterData" localSheetId="15" hidden="1">'OldData_full+half_combiE'!$A$1:$Y$125</definedName>
    <definedName name="Z_DCECD019_2153_4FC6_B239_22C55039ABFE_.wvu.FilterData" localSheetId="4" hidden="1">'5. Oven Data'!$C$2:$S$150</definedName>
    <definedName name="Z_DCECD019_2153_4FC6_B239_22C55039ABFE_.wvu.FilterData" localSheetId="17" hidden="1">OldData_2_3rd_CombiE!$B$1:$U$8</definedName>
    <definedName name="Z_DCECD019_2153_4FC6_B239_22C55039ABFE_.wvu.FilterData" localSheetId="15" hidden="1">'OldData_full+half_combiE'!$A$1:$Y$125</definedName>
  </definedNames>
  <calcPr calcId="191028"/>
  <customWorkbookViews>
    <customWorkbookView name="graphs" guid="{D3B96324-F501-48FE-9FB5-D5CAA0435798}" maximized="1" xWindow="-8" yWindow="-1088" windowWidth="1936" windowHeight="1056" tabRatio="782" activeSheetId="94"/>
    <customWorkbookView name="v" guid="{DCECD019-2153-4FC6-B239-22C55039ABFE}" maximized="1" xWindow="-8" yWindow="-1088" windowWidth="1936" windowHeight="1056" tabRatio="782" activeSheetId="9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75" i="134" l="1"/>
  <c r="S75" i="134" s="1"/>
  <c r="P75" i="134"/>
  <c r="R75" i="134" s="1"/>
  <c r="Q74" i="134"/>
  <c r="S74" i="134" s="1"/>
  <c r="P74" i="134"/>
  <c r="R74" i="134" s="1"/>
  <c r="Q73" i="134"/>
  <c r="S73" i="134" s="1"/>
  <c r="P73" i="134"/>
  <c r="R73" i="134" s="1"/>
  <c r="Q72" i="134"/>
  <c r="S72" i="134" s="1"/>
  <c r="P72" i="134"/>
  <c r="R72" i="134" s="1"/>
  <c r="Q71" i="134"/>
  <c r="S71" i="134" s="1"/>
  <c r="P71" i="134"/>
  <c r="R71" i="134" s="1"/>
  <c r="Q70" i="134"/>
  <c r="S70" i="134" s="1"/>
  <c r="P70" i="134"/>
  <c r="R70" i="134" s="1"/>
  <c r="Q69" i="134"/>
  <c r="S69" i="134" s="1"/>
  <c r="P69" i="134"/>
  <c r="R69" i="134" s="1"/>
  <c r="Q68" i="134"/>
  <c r="S68" i="134" s="1"/>
  <c r="P68" i="134"/>
  <c r="R68" i="134" s="1"/>
  <c r="Q67" i="134"/>
  <c r="S67" i="134" s="1"/>
  <c r="P67" i="134"/>
  <c r="R67" i="134" s="1"/>
  <c r="Q66" i="134"/>
  <c r="S66" i="134" s="1"/>
  <c r="P66" i="134"/>
  <c r="R66" i="134" s="1"/>
  <c r="Q65" i="134"/>
  <c r="S65" i="134" s="1"/>
  <c r="P65" i="134"/>
  <c r="R65" i="134" s="1"/>
  <c r="Q64" i="134"/>
  <c r="S64" i="134" s="1"/>
  <c r="P64" i="134"/>
  <c r="R64" i="134" s="1"/>
  <c r="Q63" i="134"/>
  <c r="S63" i="134" s="1"/>
  <c r="P63" i="134"/>
  <c r="R63" i="134" s="1"/>
  <c r="Q62" i="134"/>
  <c r="S62" i="134" s="1"/>
  <c r="P62" i="134"/>
  <c r="R62" i="134" s="1"/>
  <c r="Q61" i="134"/>
  <c r="S61" i="134" s="1"/>
  <c r="P61" i="134"/>
  <c r="R61" i="134" s="1"/>
  <c r="Q60" i="134"/>
  <c r="S60" i="134" s="1"/>
  <c r="P60" i="134"/>
  <c r="R60" i="134" s="1"/>
  <c r="Q59" i="134"/>
  <c r="S59" i="134" s="1"/>
  <c r="P59" i="134"/>
  <c r="R59" i="134" s="1"/>
  <c r="Q58" i="134"/>
  <c r="S58" i="134" s="1"/>
  <c r="P58" i="134"/>
  <c r="R58" i="134" s="1"/>
  <c r="Q57" i="134"/>
  <c r="S57" i="134" s="1"/>
  <c r="P57" i="134"/>
  <c r="R57" i="134" s="1"/>
  <c r="Q56" i="134"/>
  <c r="S56" i="134" s="1"/>
  <c r="P56" i="134"/>
  <c r="R56" i="134" s="1"/>
  <c r="Q55" i="134"/>
  <c r="S55" i="134" s="1"/>
  <c r="P55" i="134"/>
  <c r="R55" i="134" s="1"/>
  <c r="Q54" i="134"/>
  <c r="S54" i="134" s="1"/>
  <c r="P54" i="134"/>
  <c r="R54" i="134" s="1"/>
  <c r="Q53" i="134"/>
  <c r="S53" i="134" s="1"/>
  <c r="P53" i="134"/>
  <c r="R53" i="134" s="1"/>
  <c r="Q52" i="134"/>
  <c r="S52" i="134" s="1"/>
  <c r="P52" i="134"/>
  <c r="R52" i="134" s="1"/>
  <c r="Q51" i="134"/>
  <c r="S51" i="134" s="1"/>
  <c r="P51" i="134"/>
  <c r="R51" i="134" s="1"/>
  <c r="Q50" i="134"/>
  <c r="S50" i="134" s="1"/>
  <c r="P50" i="134"/>
  <c r="R50" i="134" s="1"/>
  <c r="Q49" i="134"/>
  <c r="S49" i="134" s="1"/>
  <c r="P49" i="134"/>
  <c r="R49" i="134" s="1"/>
  <c r="Q48" i="134"/>
  <c r="S48" i="134" s="1"/>
  <c r="P48" i="134"/>
  <c r="R48" i="134" s="1"/>
  <c r="Q46" i="134"/>
  <c r="S46" i="134" s="1"/>
  <c r="P46" i="134"/>
  <c r="R46" i="134" s="1"/>
  <c r="Q45" i="134"/>
  <c r="S45" i="134" s="1"/>
  <c r="P45" i="134"/>
  <c r="R45" i="134" s="1"/>
  <c r="Q44" i="134"/>
  <c r="S44" i="134" s="1"/>
  <c r="P44" i="134"/>
  <c r="R44" i="134" s="1"/>
  <c r="Q43" i="134"/>
  <c r="S43" i="134" s="1"/>
  <c r="P43" i="134"/>
  <c r="R43" i="134" s="1"/>
  <c r="Q42" i="134"/>
  <c r="S42" i="134" s="1"/>
  <c r="P42" i="134"/>
  <c r="R42" i="134" s="1"/>
  <c r="Q41" i="134"/>
  <c r="S41" i="134" s="1"/>
  <c r="P41" i="134"/>
  <c r="R41" i="134" s="1"/>
  <c r="Q40" i="134"/>
  <c r="S40" i="134" s="1"/>
  <c r="P40" i="134"/>
  <c r="R40" i="134" s="1"/>
  <c r="Q39" i="134"/>
  <c r="S39" i="134" s="1"/>
  <c r="P39" i="134"/>
  <c r="R39" i="134" s="1"/>
  <c r="Q38" i="134"/>
  <c r="S38" i="134" s="1"/>
  <c r="P38" i="134"/>
  <c r="R38" i="134" s="1"/>
  <c r="Q37" i="134"/>
  <c r="S37" i="134" s="1"/>
  <c r="P37" i="134"/>
  <c r="R37" i="134" s="1"/>
  <c r="Q36" i="134"/>
  <c r="S36" i="134" s="1"/>
  <c r="P36" i="134"/>
  <c r="R36" i="134" s="1"/>
  <c r="Q35" i="134"/>
  <c r="S35" i="134" s="1"/>
  <c r="P35" i="134"/>
  <c r="R35" i="134" s="1"/>
  <c r="Q34" i="134"/>
  <c r="S34" i="134" s="1"/>
  <c r="P34" i="134"/>
  <c r="R34" i="134" s="1"/>
  <c r="Q33" i="134"/>
  <c r="S33" i="134" s="1"/>
  <c r="P33" i="134"/>
  <c r="R33" i="134" s="1"/>
  <c r="Q32" i="134"/>
  <c r="S32" i="134" s="1"/>
  <c r="P32" i="134"/>
  <c r="R32" i="134" s="1"/>
  <c r="Q31" i="134"/>
  <c r="S31" i="134" s="1"/>
  <c r="P31" i="134"/>
  <c r="R31" i="134" s="1"/>
  <c r="Q30" i="134"/>
  <c r="S30" i="134" s="1"/>
  <c r="P30" i="134"/>
  <c r="R30" i="134" s="1"/>
  <c r="Q29" i="134"/>
  <c r="S29" i="134" s="1"/>
  <c r="P29" i="134"/>
  <c r="R29" i="134" s="1"/>
  <c r="Q28" i="134"/>
  <c r="S28" i="134" s="1"/>
  <c r="P28" i="134"/>
  <c r="R28" i="134" s="1"/>
  <c r="Q27" i="134"/>
  <c r="S27" i="134" s="1"/>
  <c r="P27" i="134"/>
  <c r="R27" i="134" s="1"/>
  <c r="B20" i="79" l="1"/>
  <c r="R72" i="75" l="1"/>
  <c r="R73" i="75"/>
  <c r="R74" i="75"/>
  <c r="R75" i="75"/>
  <c r="R76" i="75"/>
  <c r="R77" i="75"/>
  <c r="R78" i="75"/>
  <c r="R79" i="75"/>
  <c r="R80" i="75"/>
  <c r="R81" i="75"/>
  <c r="R82" i="75"/>
  <c r="R83" i="75"/>
  <c r="R84" i="75"/>
  <c r="R85" i="75"/>
  <c r="R86" i="75"/>
  <c r="R87" i="75"/>
  <c r="R88" i="75"/>
  <c r="R89" i="75"/>
  <c r="R90" i="75"/>
  <c r="R91" i="75"/>
  <c r="R92" i="75"/>
  <c r="R93" i="75"/>
  <c r="R94" i="75"/>
  <c r="R95" i="75"/>
  <c r="R96" i="75"/>
  <c r="R97" i="75"/>
  <c r="R98" i="75"/>
  <c r="R99" i="75"/>
  <c r="R100" i="75"/>
  <c r="R101" i="75"/>
  <c r="R102" i="75"/>
  <c r="R103" i="75"/>
  <c r="R104" i="75"/>
  <c r="R105" i="75"/>
  <c r="R106" i="75"/>
  <c r="R107" i="75"/>
  <c r="R108" i="75"/>
  <c r="R109" i="75"/>
  <c r="R110" i="75"/>
  <c r="R111" i="75"/>
  <c r="R112" i="75"/>
  <c r="R113" i="75"/>
  <c r="R114" i="75"/>
  <c r="R115" i="75"/>
  <c r="R116" i="75"/>
  <c r="R117" i="75"/>
  <c r="R118" i="75"/>
  <c r="R119" i="75"/>
  <c r="R120" i="75"/>
  <c r="R121" i="75"/>
  <c r="R122" i="75"/>
  <c r="R123" i="75"/>
  <c r="R124" i="75"/>
  <c r="R125" i="75"/>
  <c r="R71" i="75"/>
  <c r="R3" i="75"/>
  <c r="R4" i="75"/>
  <c r="R5" i="75"/>
  <c r="R6" i="75"/>
  <c r="R7" i="75"/>
  <c r="R8" i="75"/>
  <c r="R9" i="75"/>
  <c r="R10" i="75"/>
  <c r="R11" i="75"/>
  <c r="R12" i="75"/>
  <c r="R13" i="75"/>
  <c r="R14" i="75"/>
  <c r="R15" i="75"/>
  <c r="R16" i="75"/>
  <c r="R17" i="75"/>
  <c r="R18" i="75"/>
  <c r="R19" i="75"/>
  <c r="R20" i="75"/>
  <c r="R21" i="75"/>
  <c r="R22" i="75"/>
  <c r="R23" i="75"/>
  <c r="R24" i="75"/>
  <c r="R25" i="75"/>
  <c r="R26" i="75"/>
  <c r="R27" i="75"/>
  <c r="R28" i="75"/>
  <c r="R29" i="75"/>
  <c r="R30" i="75"/>
  <c r="R31" i="75"/>
  <c r="R32" i="75"/>
  <c r="R33" i="75"/>
  <c r="R34" i="75"/>
  <c r="R35" i="75"/>
  <c r="R36" i="75"/>
  <c r="R37" i="75"/>
  <c r="R38" i="75"/>
  <c r="R39" i="75"/>
  <c r="R40" i="75"/>
  <c r="R41" i="75"/>
  <c r="R42" i="75"/>
  <c r="R43" i="75"/>
  <c r="R44" i="75"/>
  <c r="R45" i="75"/>
  <c r="R46" i="75"/>
  <c r="R47" i="75"/>
  <c r="R48" i="75"/>
  <c r="R49" i="75"/>
  <c r="R50" i="75"/>
  <c r="R51" i="75"/>
  <c r="R52" i="75"/>
  <c r="R53" i="75"/>
  <c r="R54" i="75"/>
  <c r="R55" i="75"/>
  <c r="R56" i="75"/>
  <c r="R57" i="75"/>
  <c r="R58" i="75"/>
  <c r="R59" i="75"/>
  <c r="R60" i="75"/>
  <c r="R61" i="75"/>
  <c r="R62" i="75"/>
  <c r="R63" i="75"/>
  <c r="R64" i="75"/>
  <c r="R65" i="75"/>
  <c r="R66" i="75"/>
  <c r="R67" i="75"/>
  <c r="R68" i="75"/>
  <c r="R69" i="75"/>
  <c r="R70" i="75"/>
  <c r="R2" i="75"/>
  <c r="B24" i="79" l="1"/>
  <c r="B25" i="79"/>
  <c r="M7" i="79"/>
  <c r="N3" i="79"/>
  <c r="N4" i="79"/>
  <c r="N5" i="79"/>
  <c r="N6" i="79"/>
  <c r="N7" i="79"/>
  <c r="N2" i="79"/>
  <c r="M3" i="79"/>
  <c r="M4" i="79"/>
  <c r="M5" i="79"/>
  <c r="M6" i="79"/>
  <c r="M2" i="79"/>
  <c r="Q70" i="75" l="1"/>
  <c r="V70" i="75" s="1"/>
  <c r="W70" i="75"/>
  <c r="Q41" i="75"/>
  <c r="V41" i="75" s="1"/>
  <c r="W41" i="75"/>
  <c r="Q42" i="75"/>
  <c r="V42" i="75" s="1"/>
  <c r="W42" i="75"/>
  <c r="Q43" i="75"/>
  <c r="V43" i="75" s="1"/>
  <c r="W43" i="75"/>
  <c r="Q44" i="75"/>
  <c r="V44" i="75" s="1"/>
  <c r="W44" i="75"/>
  <c r="Q45" i="75"/>
  <c r="V45" i="75" s="1"/>
  <c r="W45" i="75"/>
  <c r="Q39" i="75"/>
  <c r="V39" i="75" s="1"/>
  <c r="W39" i="75"/>
  <c r="Q32" i="75"/>
  <c r="V32" i="75" s="1"/>
  <c r="W32" i="75"/>
  <c r="Q33" i="75"/>
  <c r="V33" i="75" s="1"/>
  <c r="W33" i="75"/>
  <c r="W16" i="75"/>
  <c r="W17" i="75"/>
  <c r="Q16" i="75"/>
  <c r="V16" i="75" s="1"/>
  <c r="Q17" i="75"/>
  <c r="V17" i="75" s="1"/>
  <c r="W76" i="75" l="1"/>
  <c r="Q76" i="75"/>
  <c r="V76" i="75" s="1"/>
  <c r="W74" i="75"/>
  <c r="Q74" i="75"/>
  <c r="V74" i="75" s="1"/>
  <c r="W73" i="75"/>
  <c r="Q73" i="75"/>
  <c r="V73" i="75" s="1"/>
  <c r="W68" i="75"/>
  <c r="Q68" i="75"/>
  <c r="V68" i="75" s="1"/>
  <c r="W47" i="75"/>
  <c r="Q47" i="75"/>
  <c r="V47" i="75" s="1"/>
  <c r="W52" i="75"/>
  <c r="Q52" i="75"/>
  <c r="V52" i="75" s="1"/>
  <c r="W88" i="75"/>
  <c r="Q88" i="75"/>
  <c r="V88" i="75" s="1"/>
  <c r="W86" i="75"/>
  <c r="Q86" i="75"/>
  <c r="V86" i="75" s="1"/>
  <c r="W83" i="75"/>
  <c r="Q83" i="75"/>
  <c r="V83" i="75" s="1"/>
  <c r="W80" i="75"/>
  <c r="Q80" i="75"/>
  <c r="V80" i="75" s="1"/>
  <c r="O3" i="79" l="1"/>
  <c r="T7" i="79" s="1"/>
  <c r="P3" i="79"/>
  <c r="T2" i="79" l="1"/>
  <c r="U4" i="79" l="1"/>
  <c r="T4" i="79"/>
  <c r="U7" i="79"/>
  <c r="U6" i="79"/>
  <c r="T6" i="79"/>
  <c r="U5" i="79"/>
  <c r="U3" i="79"/>
  <c r="T5" i="79"/>
  <c r="T3" i="79"/>
  <c r="U2" i="79"/>
  <c r="D20" i="79" l="1"/>
  <c r="C20" i="79"/>
  <c r="C19" i="79"/>
  <c r="B19" i="79"/>
  <c r="S7" i="79"/>
  <c r="S6" i="79"/>
  <c r="S5" i="79"/>
  <c r="V4" i="79"/>
  <c r="S4" i="79"/>
  <c r="S3" i="79"/>
  <c r="S2" i="79"/>
  <c r="N35" i="78"/>
  <c r="B35" i="78"/>
  <c r="N34" i="78"/>
  <c r="B34" i="78"/>
  <c r="N168" i="75"/>
  <c r="I168" i="75"/>
  <c r="H168" i="75"/>
  <c r="P159" i="75"/>
  <c r="O159" i="75"/>
  <c r="N159" i="75"/>
  <c r="M159" i="75"/>
  <c r="L159" i="75"/>
  <c r="K159" i="75"/>
  <c r="J159" i="75"/>
  <c r="I159" i="75"/>
  <c r="H159" i="75"/>
  <c r="G159" i="75"/>
  <c r="F159" i="75"/>
  <c r="E159" i="75"/>
  <c r="D159" i="75"/>
  <c r="C159" i="75"/>
  <c r="W125" i="75"/>
  <c r="Q125" i="75"/>
  <c r="V125" i="75" s="1"/>
  <c r="W124" i="75"/>
  <c r="Q124" i="75"/>
  <c r="V124" i="75" s="1"/>
  <c r="W123" i="75"/>
  <c r="Q123" i="75"/>
  <c r="W122" i="75"/>
  <c r="Q122" i="75"/>
  <c r="V122" i="75" s="1"/>
  <c r="W121" i="75"/>
  <c r="Q121" i="75"/>
  <c r="V121" i="75" s="1"/>
  <c r="W120" i="75"/>
  <c r="Q120" i="75"/>
  <c r="W119" i="75"/>
  <c r="Q119" i="75"/>
  <c r="V119" i="75" s="1"/>
  <c r="W118" i="75"/>
  <c r="Q118" i="75"/>
  <c r="V118" i="75" s="1"/>
  <c r="W117" i="75"/>
  <c r="Q117" i="75"/>
  <c r="V117" i="75" s="1"/>
  <c r="W116" i="75"/>
  <c r="Q116" i="75"/>
  <c r="V116" i="75" s="1"/>
  <c r="W115" i="75"/>
  <c r="Q115" i="75"/>
  <c r="V115" i="75" s="1"/>
  <c r="W114" i="75"/>
  <c r="Q114" i="75"/>
  <c r="V114" i="75" s="1"/>
  <c r="W113" i="75"/>
  <c r="Q113" i="75"/>
  <c r="V113" i="75" s="1"/>
  <c r="W112" i="75"/>
  <c r="Q112" i="75"/>
  <c r="V112" i="75" s="1"/>
  <c r="W111" i="75"/>
  <c r="Q111" i="75"/>
  <c r="V111" i="75" s="1"/>
  <c r="W110" i="75"/>
  <c r="Q110" i="75"/>
  <c r="V110" i="75" s="1"/>
  <c r="W109" i="75"/>
  <c r="Q109" i="75"/>
  <c r="V109" i="75" s="1"/>
  <c r="W108" i="75"/>
  <c r="Q108" i="75"/>
  <c r="V108" i="75" s="1"/>
  <c r="W107" i="75"/>
  <c r="Q107" i="75"/>
  <c r="V107" i="75" s="1"/>
  <c r="W106" i="75"/>
  <c r="Q106" i="75"/>
  <c r="V106" i="75" s="1"/>
  <c r="W105" i="75"/>
  <c r="Q105" i="75"/>
  <c r="V105" i="75" s="1"/>
  <c r="W104" i="75"/>
  <c r="Q104" i="75"/>
  <c r="V104" i="75" s="1"/>
  <c r="W103" i="75"/>
  <c r="Q103" i="75"/>
  <c r="V103" i="75" s="1"/>
  <c r="W102" i="75"/>
  <c r="Q102" i="75"/>
  <c r="V102" i="75" s="1"/>
  <c r="W101" i="75"/>
  <c r="Q101" i="75"/>
  <c r="V101" i="75" s="1"/>
  <c r="W100" i="75"/>
  <c r="Q100" i="75"/>
  <c r="V100" i="75" s="1"/>
  <c r="W99" i="75"/>
  <c r="Q99" i="75"/>
  <c r="V99" i="75" s="1"/>
  <c r="W98" i="75"/>
  <c r="Q98" i="75"/>
  <c r="V98" i="75" s="1"/>
  <c r="W97" i="75"/>
  <c r="Q97" i="75"/>
  <c r="V97" i="75" s="1"/>
  <c r="W96" i="75"/>
  <c r="Q96" i="75"/>
  <c r="V96" i="75" s="1"/>
  <c r="W95" i="75"/>
  <c r="Q95" i="75"/>
  <c r="V95" i="75" s="1"/>
  <c r="W94" i="75"/>
  <c r="Q94" i="75"/>
  <c r="V94" i="75" s="1"/>
  <c r="W93" i="75"/>
  <c r="Q93" i="75"/>
  <c r="V93" i="75" s="1"/>
  <c r="W92" i="75"/>
  <c r="Q92" i="75"/>
  <c r="V92" i="75" s="1"/>
  <c r="W91" i="75"/>
  <c r="Q91" i="75"/>
  <c r="V91" i="75" s="1"/>
  <c r="W90" i="75"/>
  <c r="Q90" i="75"/>
  <c r="V90" i="75" s="1"/>
  <c r="W89" i="75"/>
  <c r="Q89" i="75"/>
  <c r="V89" i="75" s="1"/>
  <c r="W87" i="75"/>
  <c r="Q87" i="75"/>
  <c r="V87" i="75" s="1"/>
  <c r="W85" i="75"/>
  <c r="Q85" i="75"/>
  <c r="V85" i="75" s="1"/>
  <c r="W84" i="75"/>
  <c r="Q84" i="75"/>
  <c r="V84" i="75" s="1"/>
  <c r="W82" i="75"/>
  <c r="Q82" i="75"/>
  <c r="V82" i="75" s="1"/>
  <c r="W81" i="75"/>
  <c r="Q81" i="75"/>
  <c r="V81" i="75" s="1"/>
  <c r="W79" i="75"/>
  <c r="Q79" i="75"/>
  <c r="V79" i="75" s="1"/>
  <c r="W78" i="75"/>
  <c r="Q78" i="75"/>
  <c r="V78" i="75" s="1"/>
  <c r="W77" i="75"/>
  <c r="Q77" i="75"/>
  <c r="V77" i="75" s="1"/>
  <c r="W75" i="75"/>
  <c r="Q75" i="75"/>
  <c r="V75" i="75" s="1"/>
  <c r="W72" i="75"/>
  <c r="Q72" i="75"/>
  <c r="V72" i="75" s="1"/>
  <c r="W71" i="75"/>
  <c r="Q71" i="75"/>
  <c r="V71" i="75" s="1"/>
  <c r="W69" i="75"/>
  <c r="Q69" i="75"/>
  <c r="V69" i="75" s="1"/>
  <c r="W67" i="75"/>
  <c r="Q67" i="75"/>
  <c r="V67" i="75" s="1"/>
  <c r="W66" i="75"/>
  <c r="Q66" i="75"/>
  <c r="V66" i="75" s="1"/>
  <c r="W65" i="75"/>
  <c r="Q65" i="75"/>
  <c r="V65" i="75" s="1"/>
  <c r="W64" i="75"/>
  <c r="Q64" i="75"/>
  <c r="V64" i="75" s="1"/>
  <c r="W63" i="75"/>
  <c r="Q63" i="75"/>
  <c r="V63" i="75" s="1"/>
  <c r="W62" i="75"/>
  <c r="Q62" i="75"/>
  <c r="V62" i="75" s="1"/>
  <c r="W61" i="75"/>
  <c r="Q61" i="75"/>
  <c r="V61" i="75" s="1"/>
  <c r="W60" i="75"/>
  <c r="Q60" i="75"/>
  <c r="V60" i="75" s="1"/>
  <c r="W59" i="75"/>
  <c r="Q59" i="75"/>
  <c r="V59" i="75" s="1"/>
  <c r="W58" i="75"/>
  <c r="Q58" i="75"/>
  <c r="V58" i="75" s="1"/>
  <c r="W57" i="75"/>
  <c r="Q57" i="75"/>
  <c r="V57" i="75" s="1"/>
  <c r="W56" i="75"/>
  <c r="Q56" i="75"/>
  <c r="V56" i="75" s="1"/>
  <c r="Z55" i="75"/>
  <c r="W55" i="75"/>
  <c r="Q55" i="75"/>
  <c r="V55" i="75" s="1"/>
  <c r="W54" i="75"/>
  <c r="Q54" i="75"/>
  <c r="V54" i="75" s="1"/>
  <c r="W53" i="75"/>
  <c r="Q53" i="75"/>
  <c r="V53" i="75" s="1"/>
  <c r="W51" i="75"/>
  <c r="Q51" i="75"/>
  <c r="V51" i="75" s="1"/>
  <c r="W50" i="75"/>
  <c r="Q50" i="75"/>
  <c r="V50" i="75" s="1"/>
  <c r="W49" i="75"/>
  <c r="Q49" i="75"/>
  <c r="V49" i="75" s="1"/>
  <c r="W48" i="75"/>
  <c r="Q48" i="75"/>
  <c r="V48" i="75" s="1"/>
  <c r="W46" i="75"/>
  <c r="Q46" i="75"/>
  <c r="V46" i="75" s="1"/>
  <c r="Z40" i="75"/>
  <c r="W40" i="75"/>
  <c r="Q40" i="75"/>
  <c r="V40" i="75" s="1"/>
  <c r="Z38" i="75"/>
  <c r="W38" i="75"/>
  <c r="Q38" i="75"/>
  <c r="V38" i="75" s="1"/>
  <c r="W37" i="75"/>
  <c r="Q37" i="75"/>
  <c r="V37" i="75" s="1"/>
  <c r="W36" i="75"/>
  <c r="Q36" i="75"/>
  <c r="V36" i="75" s="1"/>
  <c r="W35" i="75"/>
  <c r="Q35" i="75"/>
  <c r="V35" i="75" s="1"/>
  <c r="W34" i="75"/>
  <c r="Q34" i="75"/>
  <c r="V34" i="75" s="1"/>
  <c r="P34" i="75"/>
  <c r="W31" i="75"/>
  <c r="Q31" i="75"/>
  <c r="V31" i="75" s="1"/>
  <c r="W30" i="75"/>
  <c r="Q30" i="75"/>
  <c r="V30" i="75" s="1"/>
  <c r="W29" i="75"/>
  <c r="Q29" i="75"/>
  <c r="V29" i="75" s="1"/>
  <c r="Z28" i="75"/>
  <c r="W28" i="75"/>
  <c r="Q28" i="75"/>
  <c r="V28" i="75" s="1"/>
  <c r="Z27" i="75"/>
  <c r="W27" i="75"/>
  <c r="Q27" i="75"/>
  <c r="V27" i="75" s="1"/>
  <c r="W26" i="75"/>
  <c r="Q26" i="75"/>
  <c r="V26" i="75" s="1"/>
  <c r="W25" i="75"/>
  <c r="Q25" i="75"/>
  <c r="V25" i="75" s="1"/>
  <c r="W24" i="75"/>
  <c r="Q24" i="75"/>
  <c r="V24" i="75" s="1"/>
  <c r="W23" i="75"/>
  <c r="Q23" i="75"/>
  <c r="V23" i="75" s="1"/>
  <c r="W22" i="75"/>
  <c r="Q22" i="75"/>
  <c r="V22" i="75" s="1"/>
  <c r="W21" i="75"/>
  <c r="Q21" i="75"/>
  <c r="V21" i="75" s="1"/>
  <c r="W20" i="75"/>
  <c r="Q20" i="75"/>
  <c r="V20" i="75" s="1"/>
  <c r="W19" i="75"/>
  <c r="Q19" i="75"/>
  <c r="V19" i="75" s="1"/>
  <c r="W18" i="75"/>
  <c r="Q18" i="75"/>
  <c r="V18" i="75" s="1"/>
  <c r="W15" i="75"/>
  <c r="Q15" i="75"/>
  <c r="V15" i="75" s="1"/>
  <c r="W14" i="75"/>
  <c r="Q14" i="75"/>
  <c r="V14" i="75" s="1"/>
  <c r="W13" i="75"/>
  <c r="Q13" i="75"/>
  <c r="V13" i="75" s="1"/>
  <c r="W12" i="75"/>
  <c r="Q12" i="75"/>
  <c r="V12" i="75" s="1"/>
  <c r="W11" i="75"/>
  <c r="Q11" i="75"/>
  <c r="V11" i="75" s="1"/>
  <c r="W10" i="75"/>
  <c r="Q10" i="75"/>
  <c r="W9" i="75"/>
  <c r="Q9" i="75"/>
  <c r="W8" i="75"/>
  <c r="Q8" i="75"/>
  <c r="W7" i="75"/>
  <c r="Q7" i="75"/>
  <c r="V7" i="75" s="1"/>
  <c r="W6" i="75"/>
  <c r="Q6" i="75"/>
  <c r="V6" i="75" s="1"/>
  <c r="W5" i="75"/>
  <c r="Q5" i="75"/>
  <c r="V5" i="75" s="1"/>
  <c r="W4" i="75"/>
  <c r="Q4" i="75"/>
  <c r="V4" i="75" s="1"/>
  <c r="W3" i="75"/>
  <c r="Q3" i="75"/>
  <c r="V3" i="75" s="1"/>
  <c r="T2" i="75"/>
  <c r="S2" i="75"/>
  <c r="W2" i="75"/>
  <c r="Q2" i="75"/>
  <c r="V2" i="75" s="1"/>
  <c r="O50" i="74"/>
  <c r="B50" i="74"/>
  <c r="O49" i="74"/>
  <c r="B49" i="74"/>
  <c r="P41" i="74"/>
  <c r="C41" i="74"/>
  <c r="C40" i="74"/>
  <c r="X95" i="75" l="1"/>
  <c r="X97" i="75"/>
  <c r="X99" i="75"/>
  <c r="X101" i="75"/>
  <c r="X103" i="75"/>
  <c r="X105" i="75"/>
  <c r="X107" i="75"/>
  <c r="X109" i="75"/>
  <c r="X111" i="75"/>
  <c r="X113" i="75"/>
  <c r="X115" i="75"/>
  <c r="X117" i="75"/>
  <c r="X75" i="75"/>
  <c r="X77" i="75"/>
  <c r="X79" i="75"/>
  <c r="X81" i="75"/>
  <c r="X83" i="75"/>
  <c r="X85" i="75"/>
  <c r="X87" i="75"/>
  <c r="X89" i="75"/>
  <c r="X91" i="75"/>
  <c r="X93" i="75"/>
  <c r="X50" i="75"/>
  <c r="X52" i="75"/>
  <c r="X54" i="75"/>
  <c r="X56" i="75"/>
  <c r="X58" i="75"/>
  <c r="X60" i="75"/>
  <c r="X62" i="75"/>
  <c r="X64" i="75"/>
  <c r="X66" i="75"/>
  <c r="X68" i="75"/>
  <c r="X70" i="75"/>
  <c r="X72" i="75"/>
  <c r="X74" i="75"/>
  <c r="X37" i="75"/>
  <c r="X39" i="75"/>
  <c r="X41" i="75"/>
  <c r="X43" i="75"/>
  <c r="X45" i="75"/>
  <c r="X47" i="75"/>
  <c r="X49" i="75"/>
  <c r="X17" i="75"/>
  <c r="X19" i="75"/>
  <c r="X21" i="75"/>
  <c r="X23" i="75"/>
  <c r="X25" i="75"/>
  <c r="X27" i="75"/>
  <c r="X29" i="75"/>
  <c r="X31" i="75"/>
  <c r="X33" i="75"/>
  <c r="X35" i="75"/>
  <c r="X96" i="75"/>
  <c r="X98" i="75"/>
  <c r="X100" i="75"/>
  <c r="X102" i="75"/>
  <c r="X104" i="75"/>
  <c r="X106" i="75"/>
  <c r="X108" i="75"/>
  <c r="X110" i="75"/>
  <c r="X112" i="75"/>
  <c r="X114" i="75"/>
  <c r="X116" i="75"/>
  <c r="X118" i="75"/>
  <c r="X76" i="75"/>
  <c r="X78" i="75"/>
  <c r="X80" i="75"/>
  <c r="X82" i="75"/>
  <c r="X84" i="75"/>
  <c r="X86" i="75"/>
  <c r="X88" i="75"/>
  <c r="X90" i="75"/>
  <c r="X92" i="75"/>
  <c r="X94" i="75"/>
  <c r="X51" i="75"/>
  <c r="X53" i="75"/>
  <c r="X55" i="75"/>
  <c r="X57" i="75"/>
  <c r="X59" i="75"/>
  <c r="X61" i="75"/>
  <c r="X63" i="75"/>
  <c r="X65" i="75"/>
  <c r="X67" i="75"/>
  <c r="X69" i="75"/>
  <c r="X71" i="75"/>
  <c r="X73" i="75"/>
  <c r="X36" i="75"/>
  <c r="X38" i="75"/>
  <c r="X40" i="75"/>
  <c r="X42" i="75"/>
  <c r="X44" i="75"/>
  <c r="X46" i="75"/>
  <c r="X48" i="75"/>
  <c r="X16" i="75"/>
  <c r="X18" i="75"/>
  <c r="X20" i="75"/>
  <c r="X22" i="75"/>
  <c r="X24" i="75"/>
  <c r="X26" i="75"/>
  <c r="X28" i="75"/>
  <c r="X30" i="75"/>
  <c r="X32" i="75"/>
  <c r="X34" i="75"/>
  <c r="Y119" i="75"/>
  <c r="Y95" i="75"/>
  <c r="Y97" i="75"/>
  <c r="Y99" i="75"/>
  <c r="Y101" i="75"/>
  <c r="Y103" i="75"/>
  <c r="Y105" i="75"/>
  <c r="Y107" i="75"/>
  <c r="Y109" i="75"/>
  <c r="Y111" i="75"/>
  <c r="Y113" i="75"/>
  <c r="Y115" i="75"/>
  <c r="Y117" i="75"/>
  <c r="Y75" i="75"/>
  <c r="Y77" i="75"/>
  <c r="Y79" i="75"/>
  <c r="Y81" i="75"/>
  <c r="Y83" i="75"/>
  <c r="Y85" i="75"/>
  <c r="Y87" i="75"/>
  <c r="Y89" i="75"/>
  <c r="Y91" i="75"/>
  <c r="Y93" i="75"/>
  <c r="Y50" i="75"/>
  <c r="Y52" i="75"/>
  <c r="Y54" i="75"/>
  <c r="Y56" i="75"/>
  <c r="Y58" i="75"/>
  <c r="Y60" i="75"/>
  <c r="Y62" i="75"/>
  <c r="Y64" i="75"/>
  <c r="Y66" i="75"/>
  <c r="Y68" i="75"/>
  <c r="Y70" i="75"/>
  <c r="Y72" i="75"/>
  <c r="Y74" i="75"/>
  <c r="Y37" i="75"/>
  <c r="Y39" i="75"/>
  <c r="Y41" i="75"/>
  <c r="Y43" i="75"/>
  <c r="Y45" i="75"/>
  <c r="Y47" i="75"/>
  <c r="Y49" i="75"/>
  <c r="Y17" i="75"/>
  <c r="Y19" i="75"/>
  <c r="Y21" i="75"/>
  <c r="Y23" i="75"/>
  <c r="Y25" i="75"/>
  <c r="Y27" i="75"/>
  <c r="Y29" i="75"/>
  <c r="Y31" i="75"/>
  <c r="Y33" i="75"/>
  <c r="Y35" i="75"/>
  <c r="Y96" i="75"/>
  <c r="Y98" i="75"/>
  <c r="Y100" i="75"/>
  <c r="Y102" i="75"/>
  <c r="Y104" i="75"/>
  <c r="Y106" i="75"/>
  <c r="Y108" i="75"/>
  <c r="Y110" i="75"/>
  <c r="Y112" i="75"/>
  <c r="Y114" i="75"/>
  <c r="Y116" i="75"/>
  <c r="Y118" i="75"/>
  <c r="Y76" i="75"/>
  <c r="Y78" i="75"/>
  <c r="Y80" i="75"/>
  <c r="Y82" i="75"/>
  <c r="Y84" i="75"/>
  <c r="Y86" i="75"/>
  <c r="Y88" i="75"/>
  <c r="Y90" i="75"/>
  <c r="Y92" i="75"/>
  <c r="Y94" i="75"/>
  <c r="Y51" i="75"/>
  <c r="Y53" i="75"/>
  <c r="Y55" i="75"/>
  <c r="Y57" i="75"/>
  <c r="Y59" i="75"/>
  <c r="Y61" i="75"/>
  <c r="Y63" i="75"/>
  <c r="Y65" i="75"/>
  <c r="Y67" i="75"/>
  <c r="Y69" i="75"/>
  <c r="Y71" i="75"/>
  <c r="Y73" i="75"/>
  <c r="Y36" i="75"/>
  <c r="Y38" i="75"/>
  <c r="Y40" i="75"/>
  <c r="Y42" i="75"/>
  <c r="Y44" i="75"/>
  <c r="Y46" i="75"/>
  <c r="Y48" i="75"/>
  <c r="Y16" i="75"/>
  <c r="Y18" i="75"/>
  <c r="Y20" i="75"/>
  <c r="Y22" i="75"/>
  <c r="Y24" i="75"/>
  <c r="Y26" i="75"/>
  <c r="Y28" i="75"/>
  <c r="Y30" i="75"/>
  <c r="Y32" i="75"/>
  <c r="Y34" i="75"/>
  <c r="U105" i="75"/>
  <c r="U113" i="75"/>
  <c r="U94" i="75"/>
  <c r="U102" i="75"/>
  <c r="U79" i="75"/>
  <c r="U87" i="75"/>
  <c r="U55" i="75"/>
  <c r="U63" i="75"/>
  <c r="U71" i="75"/>
  <c r="U39" i="75"/>
  <c r="U47" i="75"/>
  <c r="U25" i="75"/>
  <c r="U33" i="75"/>
  <c r="U114" i="75"/>
  <c r="U95" i="75"/>
  <c r="U103" i="75"/>
  <c r="U80" i="75"/>
  <c r="U48" i="75"/>
  <c r="U56" i="75"/>
  <c r="U64" i="75"/>
  <c r="U72" i="75"/>
  <c r="U40" i="75"/>
  <c r="U18" i="75"/>
  <c r="U26" i="75"/>
  <c r="U13" i="75"/>
  <c r="U38" i="75"/>
  <c r="U106" i="75"/>
  <c r="U107" i="75"/>
  <c r="U88" i="75"/>
  <c r="U96" i="75"/>
  <c r="U104" i="75"/>
  <c r="U81" i="75"/>
  <c r="U49" i="75"/>
  <c r="U57" i="75"/>
  <c r="U65" i="75"/>
  <c r="U73" i="75"/>
  <c r="U41" i="75"/>
  <c r="U19" i="75"/>
  <c r="U27" i="75"/>
  <c r="U14" i="75"/>
  <c r="U89" i="75"/>
  <c r="U97" i="75"/>
  <c r="U74" i="75"/>
  <c r="U82" i="75"/>
  <c r="U50" i="75"/>
  <c r="U58" i="75"/>
  <c r="U66" i="75"/>
  <c r="U34" i="75"/>
  <c r="U42" i="75"/>
  <c r="U20" i="75"/>
  <c r="U28" i="75"/>
  <c r="U15" i="75"/>
  <c r="U108" i="75"/>
  <c r="U90" i="75"/>
  <c r="U98" i="75"/>
  <c r="U83" i="75"/>
  <c r="U59" i="75"/>
  <c r="U35" i="75"/>
  <c r="U21" i="75"/>
  <c r="U16" i="75"/>
  <c r="U44" i="75"/>
  <c r="U17" i="75"/>
  <c r="U69" i="75"/>
  <c r="U46" i="75"/>
  <c r="U109" i="75"/>
  <c r="U75" i="75"/>
  <c r="U51" i="75"/>
  <c r="U67" i="75"/>
  <c r="U43" i="75"/>
  <c r="U29" i="75"/>
  <c r="U68" i="75"/>
  <c r="U30" i="75"/>
  <c r="U37" i="75"/>
  <c r="U24" i="75"/>
  <c r="U110" i="75"/>
  <c r="U91" i="75"/>
  <c r="U99" i="75"/>
  <c r="U76" i="75"/>
  <c r="U84" i="75"/>
  <c r="U52" i="75"/>
  <c r="U60" i="75"/>
  <c r="U36" i="75"/>
  <c r="U22" i="75"/>
  <c r="U45" i="75"/>
  <c r="U31" i="75"/>
  <c r="U111" i="75"/>
  <c r="U92" i="75"/>
  <c r="U100" i="75"/>
  <c r="U77" i="75"/>
  <c r="U85" i="75"/>
  <c r="U53" i="75"/>
  <c r="U61" i="75"/>
  <c r="U23" i="75"/>
  <c r="U32" i="75"/>
  <c r="U112" i="75"/>
  <c r="U93" i="75"/>
  <c r="U101" i="75"/>
  <c r="U78" i="75"/>
  <c r="U86" i="75"/>
  <c r="U54" i="75"/>
  <c r="U62" i="75"/>
  <c r="U70" i="75"/>
  <c r="Q2" i="79"/>
  <c r="R2" i="79"/>
  <c r="R5" i="79"/>
  <c r="Q5" i="79"/>
  <c r="R6" i="79"/>
  <c r="Q6" i="79"/>
  <c r="Q7" i="79"/>
  <c r="D19" i="79" s="1"/>
  <c r="E19" i="79" s="1"/>
  <c r="R7" i="79"/>
  <c r="Q4" i="79"/>
  <c r="R4" i="79"/>
  <c r="Q3" i="79"/>
  <c r="R3" i="79"/>
  <c r="X2" i="75"/>
  <c r="X4" i="75"/>
  <c r="X6" i="75"/>
  <c r="U12" i="75"/>
  <c r="U10" i="75"/>
  <c r="V10" i="75"/>
  <c r="X121" i="75"/>
  <c r="X123" i="75"/>
  <c r="X122" i="75"/>
  <c r="X119" i="75"/>
  <c r="X8" i="75"/>
  <c r="X7" i="75"/>
  <c r="U2" i="75"/>
  <c r="X9" i="75"/>
  <c r="U122" i="75"/>
  <c r="U119" i="75"/>
  <c r="X11" i="75"/>
  <c r="X10" i="75"/>
  <c r="U5" i="75"/>
  <c r="U4" i="75"/>
  <c r="X120" i="75"/>
  <c r="X12" i="75"/>
  <c r="X124" i="75"/>
  <c r="X13" i="75"/>
  <c r="X14" i="75"/>
  <c r="X3" i="75"/>
  <c r="X5" i="75"/>
  <c r="U116" i="75"/>
  <c r="U120" i="75"/>
  <c r="V120" i="75"/>
  <c r="U123" i="75"/>
  <c r="V123" i="75"/>
  <c r="Y122" i="75"/>
  <c r="Y124" i="75"/>
  <c r="Y9" i="75"/>
  <c r="Y11" i="75"/>
  <c r="Y10" i="75"/>
  <c r="Y121" i="75"/>
  <c r="Y123" i="75"/>
  <c r="Y120" i="75"/>
  <c r="Y12" i="75"/>
  <c r="Y2" i="75"/>
  <c r="Y13" i="75"/>
  <c r="Y125" i="75"/>
  <c r="Y3" i="75"/>
  <c r="Y14" i="75"/>
  <c r="Y15" i="75"/>
  <c r="Y4" i="75"/>
  <c r="Y5" i="75"/>
  <c r="V8" i="75"/>
  <c r="U8" i="75"/>
  <c r="U11" i="75"/>
  <c r="X125" i="75"/>
  <c r="Y7" i="75"/>
  <c r="Y6" i="75"/>
  <c r="V9" i="75"/>
  <c r="U9" i="75"/>
  <c r="X15" i="75"/>
  <c r="U117" i="75"/>
  <c r="U121" i="75"/>
  <c r="U124" i="75"/>
  <c r="Y8" i="75"/>
  <c r="U3" i="75"/>
  <c r="U6" i="75"/>
  <c r="U7" i="75"/>
  <c r="U115" i="75"/>
  <c r="U118" i="75"/>
  <c r="U125" i="75"/>
  <c r="F157" i="75" l="1"/>
  <c r="P157" i="75"/>
  <c r="H157" i="75"/>
  <c r="D157" i="75"/>
  <c r="O157" i="75"/>
  <c r="G157" i="75"/>
  <c r="N157" i="75"/>
  <c r="E157" i="75"/>
  <c r="M157" i="75"/>
  <c r="L157" i="75"/>
  <c r="C157" i="75"/>
  <c r="J157" i="75"/>
  <c r="I157" i="75"/>
  <c r="K157" i="75"/>
  <c r="M156" i="75"/>
  <c r="E156" i="75"/>
  <c r="C156" i="75"/>
  <c r="L156" i="75"/>
  <c r="D156" i="75"/>
  <c r="K156" i="75"/>
  <c r="J156" i="75"/>
  <c r="N156" i="75"/>
  <c r="I156" i="75"/>
  <c r="O156" i="75"/>
  <c r="P156" i="75"/>
  <c r="H156" i="75"/>
  <c r="F156" i="75"/>
  <c r="G156" i="75"/>
  <c r="C140" i="75"/>
  <c r="D140" i="75"/>
  <c r="C17" i="79"/>
  <c r="B17" i="79"/>
  <c r="D17" i="79"/>
  <c r="N154" i="75"/>
  <c r="F154" i="75"/>
  <c r="M154" i="75"/>
  <c r="E154" i="75"/>
  <c r="L154" i="75"/>
  <c r="D154" i="75"/>
  <c r="K154" i="75"/>
  <c r="C154" i="75"/>
  <c r="I154" i="75"/>
  <c r="P154" i="75"/>
  <c r="H154" i="75"/>
  <c r="O154" i="75"/>
  <c r="J154" i="75"/>
  <c r="G154" i="75"/>
  <c r="K151" i="75"/>
  <c r="C151" i="75"/>
  <c r="J151" i="75"/>
  <c r="I151" i="75"/>
  <c r="P151" i="75"/>
  <c r="H151" i="75"/>
  <c r="N151" i="75"/>
  <c r="F151" i="75"/>
  <c r="M151" i="75"/>
  <c r="E151" i="75"/>
  <c r="D151" i="75"/>
  <c r="O151" i="75"/>
  <c r="L151" i="75"/>
  <c r="G151" i="75"/>
  <c r="O141" i="75"/>
  <c r="G141" i="75"/>
  <c r="N141" i="75"/>
  <c r="F141" i="75"/>
  <c r="L141" i="75"/>
  <c r="D141" i="75"/>
  <c r="H141" i="75"/>
  <c r="E141" i="75"/>
  <c r="C141" i="75"/>
  <c r="P141" i="75"/>
  <c r="M141" i="75"/>
  <c r="K141" i="75"/>
  <c r="I141" i="75"/>
  <c r="J141" i="75"/>
  <c r="K143" i="75"/>
  <c r="I143" i="75"/>
  <c r="P143" i="75"/>
  <c r="H143" i="75"/>
  <c r="N143" i="75"/>
  <c r="F143" i="75"/>
  <c r="M143" i="75"/>
  <c r="E143" i="75"/>
  <c r="G143" i="75"/>
  <c r="D143" i="75"/>
  <c r="C143" i="75"/>
  <c r="O143" i="75"/>
  <c r="L143" i="75"/>
  <c r="J143" i="75"/>
  <c r="O155" i="75"/>
  <c r="G155" i="75"/>
  <c r="N155" i="75"/>
  <c r="F155" i="75"/>
  <c r="M155" i="75"/>
  <c r="E155" i="75"/>
  <c r="L155" i="75"/>
  <c r="D155" i="75"/>
  <c r="J155" i="75"/>
  <c r="I155" i="75"/>
  <c r="H155" i="75"/>
  <c r="C155" i="75"/>
  <c r="P155" i="75"/>
  <c r="K155" i="75"/>
  <c r="M153" i="75"/>
  <c r="E153" i="75"/>
  <c r="L153" i="75"/>
  <c r="D153" i="75"/>
  <c r="K153" i="75"/>
  <c r="C153" i="75"/>
  <c r="J153" i="75"/>
  <c r="P153" i="75"/>
  <c r="H153" i="75"/>
  <c r="O153" i="75"/>
  <c r="G153" i="75"/>
  <c r="F153" i="75"/>
  <c r="I153" i="75"/>
  <c r="N153" i="75"/>
  <c r="L152" i="75"/>
  <c r="D152" i="75"/>
  <c r="K152" i="75"/>
  <c r="C152" i="75"/>
  <c r="J152" i="75"/>
  <c r="I152" i="75"/>
  <c r="O152" i="75"/>
  <c r="G152" i="75"/>
  <c r="N152" i="75"/>
  <c r="F152" i="75"/>
  <c r="P152" i="75"/>
  <c r="M152" i="75"/>
  <c r="H152" i="75"/>
  <c r="E152" i="75"/>
  <c r="I149" i="75"/>
  <c r="P149" i="75"/>
  <c r="H149" i="75"/>
  <c r="O149" i="75"/>
  <c r="G149" i="75"/>
  <c r="N149" i="75"/>
  <c r="F149" i="75"/>
  <c r="L149" i="75"/>
  <c r="D149" i="75"/>
  <c r="K149" i="75"/>
  <c r="C149" i="75"/>
  <c r="M149" i="75"/>
  <c r="J149" i="75"/>
  <c r="E149" i="75"/>
  <c r="AB170" i="75"/>
  <c r="M170" i="75"/>
  <c r="Q169" i="75"/>
  <c r="M145" i="75"/>
  <c r="E145" i="75"/>
  <c r="AA170" i="75"/>
  <c r="L170" i="75"/>
  <c r="P169" i="75"/>
  <c r="Z170" i="75"/>
  <c r="K170" i="75"/>
  <c r="O169" i="75"/>
  <c r="K145" i="75"/>
  <c r="C145" i="75"/>
  <c r="R170" i="75"/>
  <c r="J170" i="75"/>
  <c r="N169" i="75"/>
  <c r="J145" i="75"/>
  <c r="P170" i="75"/>
  <c r="AA169" i="75"/>
  <c r="L169" i="75"/>
  <c r="P145" i="75"/>
  <c r="H145" i="75"/>
  <c r="O170" i="75"/>
  <c r="Z169" i="75"/>
  <c r="K169" i="75"/>
  <c r="O145" i="75"/>
  <c r="G145" i="75"/>
  <c r="N170" i="75"/>
  <c r="AB169" i="75"/>
  <c r="R169" i="75"/>
  <c r="N145" i="75"/>
  <c r="M169" i="75"/>
  <c r="L145" i="75"/>
  <c r="J169" i="75"/>
  <c r="I145" i="75"/>
  <c r="F145" i="75"/>
  <c r="Q170" i="75"/>
  <c r="D145" i="75"/>
  <c r="K32" i="79"/>
  <c r="V31" i="79"/>
  <c r="G31" i="79"/>
  <c r="J32" i="79"/>
  <c r="N31" i="79"/>
  <c r="F31" i="79"/>
  <c r="I32" i="79"/>
  <c r="M31" i="79"/>
  <c r="H32" i="79"/>
  <c r="L31" i="79"/>
  <c r="G32" i="79"/>
  <c r="K31" i="79"/>
  <c r="M32" i="79"/>
  <c r="I31" i="79"/>
  <c r="N32" i="79"/>
  <c r="L32" i="79"/>
  <c r="F32" i="79"/>
  <c r="J31" i="79"/>
  <c r="H31" i="79"/>
  <c r="P148" i="75"/>
  <c r="H148" i="75"/>
  <c r="N148" i="75"/>
  <c r="F148" i="75"/>
  <c r="M148" i="75"/>
  <c r="E148" i="75"/>
  <c r="K148" i="75"/>
  <c r="C148" i="75"/>
  <c r="J148" i="75"/>
  <c r="O148" i="75"/>
  <c r="L148" i="75"/>
  <c r="I148" i="75"/>
  <c r="G148" i="75"/>
  <c r="D148" i="75"/>
  <c r="N146" i="75"/>
  <c r="F146" i="75"/>
  <c r="L146" i="75"/>
  <c r="D146" i="75"/>
  <c r="K146" i="75"/>
  <c r="C146" i="75"/>
  <c r="I146" i="75"/>
  <c r="P146" i="75"/>
  <c r="H146" i="75"/>
  <c r="E146" i="75"/>
  <c r="O146" i="75"/>
  <c r="M146" i="75"/>
  <c r="G146" i="75"/>
  <c r="J146" i="75"/>
  <c r="P142" i="75"/>
  <c r="H142" i="75"/>
  <c r="O142" i="75"/>
  <c r="G142" i="75"/>
  <c r="M142" i="75"/>
  <c r="E142" i="75"/>
  <c r="L142" i="75"/>
  <c r="D142" i="75"/>
  <c r="F142" i="75"/>
  <c r="C142" i="75"/>
  <c r="N142" i="75"/>
  <c r="K142" i="75"/>
  <c r="J142" i="75"/>
  <c r="I142" i="75"/>
  <c r="O147" i="75"/>
  <c r="G147" i="75"/>
  <c r="M147" i="75"/>
  <c r="E147" i="75"/>
  <c r="L147" i="75"/>
  <c r="D147" i="75"/>
  <c r="J147" i="75"/>
  <c r="I147" i="75"/>
  <c r="K147" i="75"/>
  <c r="H147" i="75"/>
  <c r="F147" i="75"/>
  <c r="C147" i="75"/>
  <c r="P147" i="75"/>
  <c r="N147" i="75"/>
  <c r="D18" i="79"/>
  <c r="B18" i="79"/>
  <c r="C18" i="79"/>
  <c r="L144" i="75"/>
  <c r="D144" i="75"/>
  <c r="J144" i="75"/>
  <c r="I144" i="75"/>
  <c r="O144" i="75"/>
  <c r="G144" i="75"/>
  <c r="N144" i="75"/>
  <c r="F144" i="75"/>
  <c r="M144" i="75"/>
  <c r="K144" i="75"/>
  <c r="H144" i="75"/>
  <c r="E144" i="75"/>
  <c r="C144" i="75"/>
  <c r="P144" i="75"/>
  <c r="P158" i="75"/>
  <c r="H158" i="75"/>
  <c r="O158" i="75"/>
  <c r="G158" i="75"/>
  <c r="N158" i="75"/>
  <c r="F158" i="75"/>
  <c r="M158" i="75"/>
  <c r="E158" i="75"/>
  <c r="K158" i="75"/>
  <c r="C158" i="75"/>
  <c r="J158" i="75"/>
  <c r="L158" i="75"/>
  <c r="I158" i="75"/>
  <c r="D158" i="75"/>
  <c r="N140" i="75"/>
  <c r="M140" i="75"/>
  <c r="E140" i="75"/>
  <c r="K140" i="75"/>
  <c r="I140" i="75"/>
  <c r="H140" i="75"/>
  <c r="G140" i="75"/>
  <c r="F140" i="75"/>
  <c r="P140" i="75"/>
  <c r="O140" i="75"/>
  <c r="L140" i="75"/>
  <c r="J140" i="75"/>
  <c r="J150" i="75"/>
  <c r="I150" i="75"/>
  <c r="P150" i="75"/>
  <c r="H150" i="75"/>
  <c r="O150" i="75"/>
  <c r="G150" i="75"/>
  <c r="M150" i="75"/>
  <c r="E150" i="75"/>
  <c r="L150" i="75"/>
  <c r="D150" i="75"/>
  <c r="N150" i="75"/>
  <c r="K150" i="75"/>
  <c r="F150" i="75"/>
  <c r="C150" i="75"/>
  <c r="Q157" i="75" l="1"/>
  <c r="Q156" i="75"/>
  <c r="B21" i="79"/>
  <c r="B22" i="79" s="1"/>
  <c r="V32" i="79"/>
  <c r="Q150" i="75"/>
  <c r="Q145" i="75"/>
  <c r="Q149" i="75"/>
  <c r="Q151" i="75"/>
  <c r="Q154" i="75"/>
  <c r="Q153" i="75"/>
  <c r="Q148" i="75"/>
  <c r="Q155" i="75"/>
  <c r="Q143" i="75"/>
  <c r="Q141" i="75"/>
  <c r="Q158" i="75"/>
  <c r="Q152" i="75"/>
  <c r="Q146" i="75"/>
  <c r="Q144" i="75"/>
  <c r="Q147" i="75"/>
  <c r="Q142" i="75"/>
  <c r="Q140" i="75"/>
  <c r="E17" i="79"/>
  <c r="D21" i="79"/>
  <c r="D22" i="79" s="1"/>
  <c r="B23" i="79"/>
  <c r="A26" i="79"/>
  <c r="E18" i="79"/>
  <c r="L162" i="75"/>
  <c r="L160" i="75"/>
  <c r="L161" i="75" s="1"/>
  <c r="B165" i="75"/>
  <c r="C162" i="75"/>
  <c r="C160" i="75"/>
  <c r="O160" i="75"/>
  <c r="O161" i="75" s="1"/>
  <c r="O162" i="75"/>
  <c r="K162" i="75"/>
  <c r="K160" i="75"/>
  <c r="K161" i="75" s="1"/>
  <c r="D23" i="79"/>
  <c r="D162" i="75"/>
  <c r="D160" i="75"/>
  <c r="D161" i="75" s="1"/>
  <c r="E162" i="75"/>
  <c r="E160" i="75"/>
  <c r="E161" i="75" s="1"/>
  <c r="P160" i="75"/>
  <c r="P161" i="75" s="1"/>
  <c r="P162" i="75"/>
  <c r="M162" i="75"/>
  <c r="M160" i="75"/>
  <c r="M161" i="75" s="1"/>
  <c r="F162" i="75"/>
  <c r="F160" i="75"/>
  <c r="F161" i="75" s="1"/>
  <c r="N162" i="75"/>
  <c r="N160" i="75"/>
  <c r="N161" i="75" s="1"/>
  <c r="C21" i="79"/>
  <c r="C22" i="79" s="1"/>
  <c r="G160" i="75"/>
  <c r="G161" i="75" s="1"/>
  <c r="G162" i="75"/>
  <c r="C23" i="79"/>
  <c r="H160" i="75"/>
  <c r="H161" i="75" s="1"/>
  <c r="H162" i="75"/>
  <c r="J160" i="75"/>
  <c r="J161" i="75" s="1"/>
  <c r="J162" i="75"/>
  <c r="I160" i="75"/>
  <c r="I161" i="75" s="1"/>
  <c r="I162" i="75"/>
  <c r="E20" i="79" l="1"/>
  <c r="Q159" i="75"/>
  <c r="C161" i="75"/>
  <c r="C164" i="75" s="1"/>
  <c r="C163" i="7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Melara, Jasmin</author>
  </authors>
  <commentList>
    <comment ref="P2" authorId="0" shapeId="0" xr:uid="{5BE715FC-D295-4BB1-8237-B401CFC8D466}">
      <text>
        <r>
          <rPr>
            <sz val="9"/>
            <color indexed="81"/>
            <rFont val="Tahoma"/>
            <family val="2"/>
          </rPr>
          <t xml:space="preserve">Water consumption maximum criteria is very lenient, therefore ovens without data are assumed to meet the new proposed water consumption criteria. </t>
        </r>
      </text>
    </comment>
    <comment ref="G262" authorId="0" shapeId="0" xr:uid="{7FF2C529-DEBA-44B7-BCF7-E68706BFDB4E}">
      <text>
        <r>
          <rPr>
            <b/>
            <sz val="9"/>
            <color indexed="81"/>
            <rFont val="Tahoma"/>
            <family val="2"/>
          </rPr>
          <t>Melara, Jasmin:</t>
        </r>
        <r>
          <rPr>
            <sz val="9"/>
            <color indexed="81"/>
            <rFont val="Tahoma"/>
            <family val="2"/>
          </rPr>
          <t xml:space="preserve">
New two third oven added</t>
        </r>
      </text>
    </comment>
    <comment ref="C270" authorId="0" shapeId="0" xr:uid="{C6C2BEDD-8820-4F02-A7A6-12897CC8E9F8}">
      <text>
        <r>
          <rPr>
            <sz val="9"/>
            <color indexed="81"/>
            <rFont val="Tahoma"/>
            <family val="2"/>
          </rPr>
          <t>Additional datapoints were added based on a conservative average of acquired data to obtain representation of market.</t>
        </r>
      </text>
    </comment>
  </commentList>
</comments>
</file>

<file path=xl/sharedStrings.xml><?xml version="1.0" encoding="utf-8"?>
<sst xmlns="http://schemas.openxmlformats.org/spreadsheetml/2006/main" count="4852" uniqueCount="453">
  <si>
    <t>Oven Type</t>
  </si>
  <si>
    <t>Fuel Type</t>
  </si>
  <si>
    <t xml:space="preserve"> Maximum Oven Steam Mode Idle Energy Rate (Btu/hr or kW)</t>
  </si>
  <si>
    <t xml:space="preserve"> Maximum Oven Convection Mode Idle Energy Rate (Btu/hr or kW)</t>
  </si>
  <si>
    <t xml:space="preserve"> Minimum Oven Steam Mode Cooking Energy Efficiency (%)</t>
  </si>
  <si>
    <t xml:space="preserve"> Minimum Oven Convection Mode Cooking Energy Efficiency (%)</t>
  </si>
  <si>
    <t>Electric</t>
  </si>
  <si>
    <t xml:space="preserve"> 0.133P+0.6400</t>
  </si>
  <si>
    <t>0.083P+0.35</t>
  </si>
  <si>
    <t>0.6P</t>
  </si>
  <si>
    <t>0.05P+0.55</t>
  </si>
  <si>
    <t>Gas</t>
  </si>
  <si>
    <t xml:space="preserve"> 200P+6,511</t>
  </si>
  <si>
    <t>140P+3,800</t>
  </si>
  <si>
    <t>Operation</t>
  </si>
  <si>
    <t>Steam Mode</t>
  </si>
  <si>
    <t>Convection Mode</t>
  </si>
  <si>
    <t>Combination Full and Half size (5-40 Pan Capacity)</t>
  </si>
  <si>
    <t>N/A</t>
  </si>
  <si>
    <t>Convection Full size ≥ 5 pans</t>
  </si>
  <si>
    <t>-</t>
  </si>
  <si>
    <t>Convection Half size</t>
  </si>
  <si>
    <t>Convection Full size</t>
  </si>
  <si>
    <t xml:space="preserve">Single Rack </t>
  </si>
  <si>
    <t>Double Rack</t>
  </si>
  <si>
    <t>≤ 0.080P+0.4989</t>
  </si>
  <si>
    <t>≥55</t>
  </si>
  <si>
    <t>≥76</t>
  </si>
  <si>
    <t>Product Type</t>
  </si>
  <si>
    <t>Combination Full and Half size (5-40 Pan Capacity)-Electric</t>
  </si>
  <si>
    <t>ENERGY STAR V3.0</t>
  </si>
  <si>
    <t>Combination Full and Half Size-Gas</t>
  </si>
  <si>
    <t>Convection Half Size- Electric</t>
  </si>
  <si>
    <t>Convection Full Size- Gas</t>
  </si>
  <si>
    <t>Rack- Single- Gas</t>
  </si>
  <si>
    <t>Rack- Double- Gas</t>
  </si>
  <si>
    <t>V3.0 Efficiency Criteria</t>
  </si>
  <si>
    <t>Electricity Savings
(kWh)</t>
  </si>
  <si>
    <t>Gas Savings
(Therms)</t>
  </si>
  <si>
    <t>Annual Energy Savings ($)</t>
  </si>
  <si>
    <r>
      <t>Emissions Reduction
(pounds of CO</t>
    </r>
    <r>
      <rPr>
        <vertAlign val="subscript"/>
        <sz val="10"/>
        <rFont val="Arial"/>
        <family val="2"/>
      </rPr>
      <t>2</t>
    </r>
    <r>
      <rPr>
        <sz val="10"/>
        <rFont val="Arial"/>
        <family val="2"/>
      </rPr>
      <t>)</t>
    </r>
  </si>
  <si>
    <t>Annual Water Savings (gallons)</t>
  </si>
  <si>
    <t>Annual Water Savings ($)</t>
  </si>
  <si>
    <t>Convection Full Size- Electric</t>
  </si>
  <si>
    <t>Total</t>
  </si>
  <si>
    <t>Lifetime Annual Energy Savings
($)</t>
  </si>
  <si>
    <r>
      <t>Lifetime Emissions Reduction
(pounds of CO</t>
    </r>
    <r>
      <rPr>
        <vertAlign val="subscript"/>
        <sz val="10"/>
        <rFont val="Arial"/>
        <family val="2"/>
      </rPr>
      <t>2</t>
    </r>
    <r>
      <rPr>
        <sz val="10"/>
        <rFont val="Arial"/>
        <family val="2"/>
      </rPr>
      <t>)</t>
    </r>
  </si>
  <si>
    <t>Electricity 
(GWh)</t>
  </si>
  <si>
    <t>Gas (MMBTU)</t>
  </si>
  <si>
    <t>Energy Costs 
(millions of $)</t>
  </si>
  <si>
    <t>Annual Water Savings (millions of $)</t>
  </si>
  <si>
    <t>Totals</t>
  </si>
  <si>
    <t>Electric Oven Steam Mode Cooking Energy Efficiency (%)</t>
  </si>
  <si>
    <t>Electric Oven Convection Mode Cooking Energy Efficiency (%)</t>
  </si>
  <si>
    <t xml:space="preserve">Combination Full and Half size (5-40 pan capacity)-Electric </t>
  </si>
  <si>
    <t>ETE102R</t>
  </si>
  <si>
    <t>Baseline</t>
  </si>
  <si>
    <t>C4eD 10.20 ES</t>
  </si>
  <si>
    <t xml:space="preserve">Product Class
</t>
  </si>
  <si>
    <t xml:space="preserve">Efficiency Level
</t>
  </si>
  <si>
    <t>Annual Energy Use
(kWh/yr or Therms/yr)</t>
  </si>
  <si>
    <t>Annual Operating Cost
($)</t>
  </si>
  <si>
    <t>Average Purchase Cost
($)</t>
  </si>
  <si>
    <t>Average Payback
(yrs)</t>
  </si>
  <si>
    <t>Steam Mode Average Water Consumption Rate (gal/hr)</t>
  </si>
  <si>
    <t>Fail</t>
  </si>
  <si>
    <t>Pass</t>
  </si>
  <si>
    <t>ENERGY STAR® Commercial Ovens
 Data and Analysis</t>
  </si>
  <si>
    <r>
      <rPr>
        <u/>
        <sz val="14"/>
        <color theme="1"/>
        <rFont val="Calibri"/>
        <family val="2"/>
        <scheme val="minor"/>
      </rPr>
      <t>1. Introduction</t>
    </r>
    <r>
      <rPr>
        <sz val="14"/>
        <color theme="1"/>
        <rFont val="Calibri"/>
        <family val="2"/>
        <scheme val="minor"/>
      </rPr>
      <t>: Includes introduction, table of contents and contacts</t>
    </r>
  </si>
  <si>
    <r>
      <rPr>
        <u/>
        <sz val="14"/>
        <color theme="1"/>
        <rFont val="Calibri"/>
        <family val="2"/>
        <scheme val="minor"/>
      </rPr>
      <t>2. Version 3.0 Criteria</t>
    </r>
    <r>
      <rPr>
        <sz val="14"/>
        <color theme="1"/>
        <rFont val="Calibri"/>
        <family val="2"/>
        <scheme val="minor"/>
      </rPr>
      <t>: Displays key data for new specifications and major revisions</t>
    </r>
  </si>
  <si>
    <r>
      <rPr>
        <u/>
        <sz val="14"/>
        <color theme="1"/>
        <rFont val="Calibri"/>
        <family val="2"/>
        <scheme val="minor"/>
      </rPr>
      <t>3. Energy and Cost Savings</t>
    </r>
    <r>
      <rPr>
        <sz val="14"/>
        <color theme="1"/>
        <rFont val="Calibri"/>
        <family val="2"/>
        <scheme val="minor"/>
      </rPr>
      <t>: Summarizes consumers' energy and cost savings, as well as national savings</t>
    </r>
  </si>
  <si>
    <r>
      <rPr>
        <u/>
        <sz val="14"/>
        <color theme="1"/>
        <rFont val="Calibri"/>
        <family val="2"/>
        <scheme val="minor"/>
      </rPr>
      <t>4. Incremental Cost and Payback</t>
    </r>
    <r>
      <rPr>
        <sz val="14"/>
        <color theme="1"/>
        <rFont val="Calibri"/>
        <family val="2"/>
        <scheme val="minor"/>
      </rPr>
      <t>: Summarizes results from consumer payback analysis involving a "like-to-like" comparison</t>
    </r>
  </si>
  <si>
    <r>
      <rPr>
        <u/>
        <sz val="14"/>
        <color theme="1"/>
        <rFont val="Calibri"/>
        <family val="2"/>
        <scheme val="minor"/>
      </rPr>
      <t>5. Oven Data</t>
    </r>
    <r>
      <rPr>
        <sz val="14"/>
        <color theme="1"/>
        <rFont val="Calibri"/>
        <family val="2"/>
        <scheme val="minor"/>
      </rPr>
      <t>: Includes combi ENERGY STAR certified products, utility data, and additional performance data submitted by manufacturers</t>
    </r>
  </si>
  <si>
    <r>
      <rPr>
        <u/>
        <sz val="14"/>
        <color theme="1"/>
        <rFont val="Calibri"/>
        <family val="2"/>
        <scheme val="minor"/>
      </rPr>
      <t>6. Elec. Combi 5-40 Pans Charts</t>
    </r>
    <r>
      <rPr>
        <sz val="14"/>
        <color theme="1"/>
        <rFont val="Calibri"/>
        <family val="2"/>
        <scheme val="minor"/>
      </rPr>
      <t>: Proposed idle and efficiency levels for full and half-size electric combination ovens with 5-40 steam pan capacity</t>
    </r>
  </si>
  <si>
    <r>
      <rPr>
        <u/>
        <sz val="14"/>
        <color theme="1"/>
        <rFont val="Calibri"/>
        <family val="2"/>
        <scheme val="minor"/>
      </rPr>
      <t>7. Elec. 3-4 Pan and 2_3 Charts</t>
    </r>
    <r>
      <rPr>
        <sz val="14"/>
        <color theme="1"/>
        <rFont val="Calibri"/>
        <family val="2"/>
        <scheme val="minor"/>
      </rPr>
      <t>: Proposed idle and efficiency levels for electric combination ovens with a 3-4 steam pan capacity and 2/3-size pans with a 3-5 pan capacity</t>
    </r>
  </si>
  <si>
    <r>
      <rPr>
        <u/>
        <sz val="14"/>
        <color theme="1"/>
        <rFont val="Calibri"/>
        <family val="2"/>
        <scheme val="minor"/>
      </rPr>
      <t>8. Gas Combi Charts</t>
    </r>
    <r>
      <rPr>
        <sz val="14"/>
        <color theme="1"/>
        <rFont val="Calibri"/>
        <family val="2"/>
        <scheme val="minor"/>
      </rPr>
      <t>: Proposed idle and efficiency levels for gas combination ovens</t>
    </r>
  </si>
  <si>
    <r>
      <rPr>
        <u/>
        <sz val="14"/>
        <color theme="1"/>
        <rFont val="Calibri"/>
        <family val="2"/>
        <scheme val="minor"/>
      </rPr>
      <t>9. Electric Convection Charts</t>
    </r>
    <r>
      <rPr>
        <sz val="14"/>
        <color theme="1"/>
        <rFont val="Calibri"/>
        <family val="2"/>
        <scheme val="minor"/>
      </rPr>
      <t>: Proposed idle and efficiency levels for electric convection ovens</t>
    </r>
  </si>
  <si>
    <r>
      <rPr>
        <u/>
        <sz val="14"/>
        <color theme="1"/>
        <rFont val="Calibri"/>
        <family val="2"/>
        <scheme val="minor"/>
      </rPr>
      <t>10. Gas Convection Charts</t>
    </r>
    <r>
      <rPr>
        <sz val="14"/>
        <color theme="1"/>
        <rFont val="Calibri"/>
        <family val="2"/>
        <scheme val="minor"/>
      </rPr>
      <t>: Proposed idle and efficiency levels for gas convection ovens</t>
    </r>
  </si>
  <si>
    <r>
      <rPr>
        <u/>
        <sz val="14"/>
        <color theme="1"/>
        <rFont val="Calibri"/>
        <family val="2"/>
        <scheme val="minor"/>
      </rPr>
      <t>11. Gas Rack Charts</t>
    </r>
    <r>
      <rPr>
        <sz val="14"/>
        <color theme="1"/>
        <rFont val="Calibri"/>
        <family val="2"/>
        <scheme val="minor"/>
      </rPr>
      <t>: Proposed idle and efficiency levels for single and double rack ovens</t>
    </r>
  </si>
  <si>
    <r>
      <rPr>
        <u/>
        <sz val="14"/>
        <color theme="1"/>
        <rFont val="Calibri"/>
        <family val="2"/>
        <scheme val="minor"/>
      </rPr>
      <t>13. MS ENERGY STAR</t>
    </r>
    <r>
      <rPr>
        <sz val="14"/>
        <color theme="1"/>
        <rFont val="Calibri"/>
        <family val="2"/>
        <scheme val="minor"/>
      </rPr>
      <t xml:space="preserve">: Estimated ENERGY STAR 2019 and 2020  market share estimates by subcategory </t>
    </r>
  </si>
  <si>
    <t>If you have any questions concerning this data, please contact Tanja Crk, EPA, at Crk.Tanja@epa.gov and 202-650-7522. For more information on ENERGY STAR Commercial Oven specification development, please visit the product development webpage: https://cmadmin.energystar.gov/products/spec/commercial_ovens_specification_version_3_0_pd</t>
  </si>
  <si>
    <t>Convection Full size &lt;5 pans</t>
  </si>
  <si>
    <r>
      <t xml:space="preserve">Water Consumption Rate: All Combination Ovens </t>
    </r>
    <r>
      <rPr>
        <sz val="12"/>
        <color rgb="FF000000"/>
        <rFont val="Arial"/>
        <family val="2"/>
      </rPr>
      <t> </t>
    </r>
  </si>
  <si>
    <t xml:space="preserve">Electric and Gas Ovens During Cooking Periods </t>
  </si>
  <si>
    <t>Table 2: Annual Unit Energy, GHG, and Cost Savings</t>
  </si>
  <si>
    <t>Combination 3-4 Pan Capacity and 2/3 Size with 3-5 Pan Capacity - Electric</t>
  </si>
  <si>
    <r>
      <rPr>
        <u/>
        <sz val="10"/>
        <color theme="1"/>
        <rFont val="Arial"/>
        <family val="2"/>
      </rPr>
      <t>Assumptions</t>
    </r>
    <r>
      <rPr>
        <sz val="10"/>
        <color theme="1"/>
        <rFont val="Arial"/>
        <family val="2"/>
      </rPr>
      <t>: The baselines used are based on the ENERGY STAR V2.2 levels, eTRM data, stakeholder data, and California Energy Wise Qualified Product Lists. Emissions Factor = 1.560 lbs CO2E/kWh and Emission Factor= 11.698 CO2E/Therm . Cost of Commercial Electricity = $0.10/kWh (2022 projection). Cost of Commercial Natural Gas = $0.71/Therm (2022 projection). The commercial water rate =$ 9.01/ 1000 gallons (American Water Works Association and Raftelis Financial Consultants, Inc., 2014 Water and Wastewater Rate Survey. 2015.)</t>
    </r>
  </si>
  <si>
    <t>Table 3: Lifetime Unit Energy, GHG, and Cost Savings</t>
  </si>
  <si>
    <t>Combination 3-4 Pan Capacity and 2/3 Size with 3-5 Pan Capacity- Electric</t>
  </si>
  <si>
    <r>
      <rPr>
        <u/>
        <sz val="10"/>
        <rFont val="Arial"/>
        <family val="2"/>
      </rPr>
      <t>Assumptions</t>
    </r>
    <r>
      <rPr>
        <sz val="10"/>
        <rFont val="Arial"/>
        <family val="2"/>
      </rPr>
      <t>: A lifetime of 12 years based on average lifetime of products (CA TRM and California Energy Wise)</t>
    </r>
  </si>
  <si>
    <t>Table 4: National Annual Savings Potential</t>
  </si>
  <si>
    <r>
      <t>CO</t>
    </r>
    <r>
      <rPr>
        <vertAlign val="subscript"/>
        <sz val="10"/>
        <color theme="1"/>
        <rFont val="Arial"/>
        <family val="2"/>
      </rPr>
      <t>2</t>
    </r>
    <r>
      <rPr>
        <sz val="10"/>
        <color theme="1"/>
        <rFont val="Arial"/>
        <family val="2"/>
      </rPr>
      <t xml:space="preserve"> 
(billions of lbs)</t>
    </r>
  </si>
  <si>
    <r>
      <t>CO</t>
    </r>
    <r>
      <rPr>
        <vertAlign val="subscript"/>
        <sz val="10"/>
        <color theme="1"/>
        <rFont val="Arial"/>
        <family val="2"/>
      </rPr>
      <t xml:space="preserve">2 </t>
    </r>
    <r>
      <rPr>
        <sz val="10"/>
        <color theme="1"/>
        <rFont val="Arial"/>
        <family val="2"/>
      </rPr>
      <t xml:space="preserve">
(MMT)</t>
    </r>
  </si>
  <si>
    <t>Potential national savings in a year if all commercial ovens in the U.S. met ENERGY STAR V3.0</t>
  </si>
  <si>
    <r>
      <rPr>
        <u/>
        <sz val="10"/>
        <color rgb="FF000000"/>
        <rFont val="Arial"/>
        <family val="2"/>
      </rPr>
      <t>Assumptions</t>
    </r>
    <r>
      <rPr>
        <sz val="10"/>
        <color rgb="FF000000"/>
        <rFont val="Arial"/>
        <family val="2"/>
      </rPr>
      <t>: A lifetime of 12 years based on average lifetime of products (CA TRM and California Energy Wise)</t>
    </r>
  </si>
  <si>
    <t>Table 5: Average Installed Cost and Payback</t>
  </si>
  <si>
    <t>Table 6: Idle rates, Energy Efficiencies, and Preheat rates Data (Data compiled from Caenergywise Qualified Product List, CA TRM baseline data, stakeholder outreach, and ENERGY STAR's Qualified Product List</t>
  </si>
  <si>
    <t>Product Sub-Type</t>
  </si>
  <si>
    <t>ENERGY STAR Unique ID if Blank not on current ENERGY STAR QPL and obtained from alternative source. CA TRM data is included to capture 100% of the market</t>
  </si>
  <si>
    <t>Size</t>
  </si>
  <si>
    <t>Steam Mode Idle Energy Rate (kW:Electric, Btu/hr:Gas)</t>
  </si>
  <si>
    <t>Convection  Mode Idle Energy Rate  (kW:Electric, Btu/hr:Gas)</t>
  </si>
  <si>
    <t>Steam Mode Cooking Energy Efficiency (%)</t>
  </si>
  <si>
    <t xml:space="preserve"> Convection Mode Cooking Energy Efficiency (%)</t>
  </si>
  <si>
    <t>Steam Pan Capacity (Combination) or Sheet Pan Capacity (Convection)</t>
  </si>
  <si>
    <t>Steam Mode Production Capacity (lbs/hr)</t>
  </si>
  <si>
    <t>Convection Mode Production Capacity (lbs/hr)</t>
  </si>
  <si>
    <t>Steam Mode Average Water Consumption Rate (gal/hr/pan)</t>
  </si>
  <si>
    <t>Convection Mode Average Water Consumption Rate (gal/hr/pan)</t>
  </si>
  <si>
    <t>Combi Ovens: If Pass or Fail  6 Metrics (N/A denotes missing data needed to pass or fail)</t>
  </si>
  <si>
    <t>Preheat Energy (kWh: Electric, Btu: Gas)</t>
  </si>
  <si>
    <t>Steam Preheat Energy (kWh:Electric, Btu:Gas)</t>
  </si>
  <si>
    <t>Convection Preheat Energy (kWh:Electric, Btu:Gas)</t>
  </si>
  <si>
    <t>Convection Ovens: If Pass or Fail Both Metrics</t>
  </si>
  <si>
    <t>Gas Oven Convection Mode Total Idle Energy Rate (Btu/hr)</t>
  </si>
  <si>
    <t>Rack Oven Baking-Energy Efficiency (%):</t>
  </si>
  <si>
    <t>Baking Production Capacity (lbs/hr)</t>
  </si>
  <si>
    <t>Rack Preheat Energy (Btu)</t>
  </si>
  <si>
    <t>Rack Ovens: If Pass or Fail Both Metrics</t>
  </si>
  <si>
    <t>Combination Ovens</t>
  </si>
  <si>
    <t>Electric Combi Ovens</t>
  </si>
  <si>
    <t>Combination</t>
  </si>
  <si>
    <t>Full-size</t>
  </si>
  <si>
    <t>Half-size</t>
  </si>
  <si>
    <t>CA TRM baseline</t>
  </si>
  <si>
    <t>Gas Combi Ovens</t>
  </si>
  <si>
    <t>3-4 Pan Electric Combi Ovens</t>
  </si>
  <si>
    <t>Two-Third Combis</t>
  </si>
  <si>
    <t>two-thirds</t>
  </si>
  <si>
    <t>market baseline</t>
  </si>
  <si>
    <t>Convection Oven</t>
  </si>
  <si>
    <t>Electric Convection -Full-size</t>
  </si>
  <si>
    <t>Convection</t>
  </si>
  <si>
    <t>Electric Convection -Half-size</t>
  </si>
  <si>
    <t xml:space="preserve">Gas Convection </t>
  </si>
  <si>
    <t>Single Rack-Gas</t>
  </si>
  <si>
    <t>Rack</t>
  </si>
  <si>
    <t>Double Rack-Gas</t>
  </si>
  <si>
    <t>Sources: ENERGY STAR Qualified Products List, PGE Qualified Products List, 2019 SMUD Qualified Combination Ovens, Stakeholder outreach, and CA TRM baseline data</t>
  </si>
  <si>
    <t>Electric Combi Ovens Steam Mode Idle, Convection Model Idle, Steam Efficiency, and Convection Efficiency Charts with Steam Pan Capacity 5-40</t>
  </si>
  <si>
    <t>3-4 Steam Pan and 2/3 Size Capacity Electric Combi Ovens Steam Mode Idle, Convection Model Idle, Steam Efficiency, and Convection Efficiency Charts</t>
  </si>
  <si>
    <t>Gas Combi Ovens Steam Mode Idle, Convection Model Idle, Steam Efficiency, and Convection Efficiency Charts</t>
  </si>
  <si>
    <t>Full and Half-size Electric Convection Ovens Convection Model Idle Rate and Convection Efficiency Charts</t>
  </si>
  <si>
    <t>Gas Convection Ovens Convection Model Idle Rate and Convection Efficiency Chart</t>
  </si>
  <si>
    <t>Single and Double Rack Ovens Convection Model Total Idle Rate and Baking Efficiency Charts</t>
  </si>
  <si>
    <t>Steam Pan Capacity (X)</t>
  </si>
  <si>
    <t>Steam Mode Water Consumption Limit (Y1)</t>
  </si>
  <si>
    <t>Convection Mode Water Consumption Limit (Y2)</t>
  </si>
  <si>
    <t xml:space="preserve">2019 and 2020 ENERGY STAR Estimated Market Share for Current Oven Subcategories (v2.2) </t>
  </si>
  <si>
    <t>Additional savings potential, availability of technological innovation, and market share estimates all inform whether criteria levels warrant change from the current ENERGY STAR commercial ovens product specification V2.2. For example, further refinements to criteria for commercial ovens sub-categories with relatively low market uptake of ENERGY STAR, might negatively impact  availability of ENERGY STAR choices. In this instance, the program invests in marketing to increase participation and certified products over revising criteria.</t>
  </si>
  <si>
    <t>≤ 0.133P+0.6400</t>
  </si>
  <si>
    <t>sum</t>
  </si>
  <si>
    <t>BKI</t>
  </si>
  <si>
    <t>New max idle line</t>
  </si>
  <si>
    <t xml:space="preserve">x </t>
  </si>
  <si>
    <t>y</t>
  </si>
  <si>
    <t>New Min eff.</t>
  </si>
  <si>
    <t>point 1</t>
  </si>
  <si>
    <t>point 2</t>
  </si>
  <si>
    <t>Current max</t>
  </si>
  <si>
    <t>Current min</t>
  </si>
  <si>
    <t>x</t>
  </si>
  <si>
    <t>ENERGY STAR Unique ID</t>
  </si>
  <si>
    <t>ENERGY STAR Partner</t>
  </si>
  <si>
    <t>Brand Name</t>
  </si>
  <si>
    <t>Model Name</t>
  </si>
  <si>
    <t>Model Number</t>
  </si>
  <si>
    <t>Additional Model Information</t>
  </si>
  <si>
    <t>Electric Oven Steam Mode Idle Energy Rate (kW)</t>
  </si>
  <si>
    <t>Electric Oven Convection Mode Idle Energy Rate (kW)</t>
  </si>
  <si>
    <t>Steam Pan Capacity</t>
  </si>
  <si>
    <t>Steam Idle rate Max</t>
  </si>
  <si>
    <t>Convec. Idle rate Max</t>
  </si>
  <si>
    <t>Min Steam Eff. %</t>
  </si>
  <si>
    <t>Min Convec. Eff. %</t>
  </si>
  <si>
    <t xml:space="preserve">All 4 metrics Pass or Fail new </t>
  </si>
  <si>
    <t>Steam Idle Pass or Fail Metric</t>
  </si>
  <si>
    <t>Convec. Idle Pass or Fail Metric</t>
  </si>
  <si>
    <t>Steam Eff. Pass or Fail metric</t>
  </si>
  <si>
    <t>Convec Eff. Pass or Fail metric</t>
  </si>
  <si>
    <t>Preheat Energy (kWh)</t>
  </si>
  <si>
    <t>Steam Preheat Energy (kWh)</t>
  </si>
  <si>
    <t>Convection Preheat Energy (kWh)</t>
  </si>
  <si>
    <t>price</t>
  </si>
  <si>
    <t>Accutemp Products, Inc.</t>
  </si>
  <si>
    <t>AccuTemp</t>
  </si>
  <si>
    <t>T0621IE</t>
  </si>
  <si>
    <t>Alto-Shaam, Inc.</t>
  </si>
  <si>
    <t>Alto-Shaam</t>
  </si>
  <si>
    <t>CTP7-20E</t>
  </si>
  <si>
    <t>7.14 ESI</t>
  </si>
  <si>
    <t>7.14ES</t>
  </si>
  <si>
    <t>Angelo Po Grandi Cucine S.p.A. con Socio Unico</t>
  </si>
  <si>
    <t>Angelo Po</t>
  </si>
  <si>
    <t>FX82E3</t>
  </si>
  <si>
    <t>,,Available in 208V, 240V and 480V; FX82E3CT,FX82E3CT,Available in 208V, 240V and 480V; FX82E3R,FX82E3R,Available in 208V, 240V and 480V; FX82E3T,FX82E3T,Available in 208V, 240V and 480V; FX82E3TR,FX82E3TR,Available in 208V, 240V and 480V</t>
  </si>
  <si>
    <t>FX122E3T</t>
  </si>
  <si>
    <t>FX202E3T</t>
  </si>
  <si>
    <t>HE062R</t>
  </si>
  <si>
    <t>HE101</t>
  </si>
  <si>
    <t>HE102</t>
  </si>
  <si>
    <t>HE061</t>
  </si>
  <si>
    <t>Blodgett</t>
  </si>
  <si>
    <t>BLC*-10E</t>
  </si>
  <si>
    <t xml:space="preserve">Blodgett </t>
  </si>
  <si>
    <t>BCT102E</t>
  </si>
  <si>
    <t>BCP 61 KPE 1.06</t>
  </si>
  <si>
    <t>BCX14E</t>
  </si>
  <si>
    <t>BX14E</t>
  </si>
  <si>
    <t>BCT101E</t>
  </si>
  <si>
    <t>Convotherm (A division of Welbilt)</t>
  </si>
  <si>
    <t>Convotherm</t>
  </si>
  <si>
    <t>C4eT 6.20 EB</t>
  </si>
  <si>
    <t>C4eT 6.20 ES</t>
  </si>
  <si>
    <t>C4eD 10.10 ES</t>
  </si>
  <si>
    <t>C4eD 10.20 EB</t>
  </si>
  <si>
    <t>OES-10.10 Mini</t>
  </si>
  <si>
    <t>NON-qual list 2018 FSTC and SCE</t>
  </si>
  <si>
    <t>C4e* 10.20EB</t>
  </si>
  <si>
    <t>C4e* 10.20ES</t>
  </si>
  <si>
    <t>OES-10.20</t>
  </si>
  <si>
    <t>OES-6.20</t>
  </si>
  <si>
    <t>Electrolux Professional</t>
  </si>
  <si>
    <t>Electrolux</t>
  </si>
  <si>
    <t>COE11T30</t>
  </si>
  <si>
    <t>,COE11D30,; ,COE11D3K,; ,COE11T3K,</t>
  </si>
  <si>
    <t>COE12T30</t>
  </si>
  <si>
    <t>,COE12D30,; ,COE12D3K,; ,COE12T3K,</t>
  </si>
  <si>
    <t>COE61T30</t>
  </si>
  <si>
    <t>,COE61D30,; ,COE61D3K,; ,COE61T3K,</t>
  </si>
  <si>
    <t>COE62T30</t>
  </si>
  <si>
    <t>,COE62D30,; ,COE62D3K,; ,COE62T3K,</t>
  </si>
  <si>
    <t>Eloma</t>
  </si>
  <si>
    <t>Genius *T12-21E</t>
  </si>
  <si>
    <t>Genius T6-11E</t>
  </si>
  <si>
    <t>Genius *T20-21</t>
  </si>
  <si>
    <t>PGE</t>
  </si>
  <si>
    <t>Giorik</t>
  </si>
  <si>
    <t>SEHE061W</t>
  </si>
  <si>
    <t>SEHE062W*</t>
  </si>
  <si>
    <t>SEHE101W</t>
  </si>
  <si>
    <t>SEHE102W*</t>
  </si>
  <si>
    <t>SETE102W</t>
  </si>
  <si>
    <t>MKN Maschinenfabrik Kurt Neubauer</t>
  </si>
  <si>
    <t>Henny Penny</t>
  </si>
  <si>
    <t>FPE115</t>
  </si>
  <si>
    <t>FPE121</t>
  </si>
  <si>
    <t>FPE215</t>
  </si>
  <si>
    <t>FSE610</t>
  </si>
  <si>
    <t>FPE615</t>
  </si>
  <si>
    <t>FPE621</t>
  </si>
  <si>
    <t>ESC610</t>
  </si>
  <si>
    <t>Hobart</t>
  </si>
  <si>
    <t>CE20FD*</t>
  </si>
  <si>
    <t>CE10FD-1</t>
  </si>
  <si>
    <t>LAINOX ALI Group S.r.l</t>
  </si>
  <si>
    <t>Lainox</t>
  </si>
  <si>
    <t>NAEB071</t>
  </si>
  <si>
    <t>,NAEB071R,; ,NAEB071RUS,; ,NAEB071US,; ,SAEB071R,; ,SAEB071RUS,</t>
  </si>
  <si>
    <t>NAEB072</t>
  </si>
  <si>
    <t>,NAEB072R,; ,NAEB072RUS,; ,NAEB072US,; ,SAEB072R,; ,SAEB072RUS,</t>
  </si>
  <si>
    <t>NAEB101</t>
  </si>
  <si>
    <t>,NAEB101R,; ,NAEB101RUS,; ,NAEB101US,; ,SAEB101R,; ,SAEB101RUS,</t>
  </si>
  <si>
    <t>NAEB102US</t>
  </si>
  <si>
    <t>,NAEB102,; ,NAEB102R,; ,NAEB102RUS,; ,SAEB102R,; ,SAEB102RUS,</t>
  </si>
  <si>
    <t>NAEB201</t>
  </si>
  <si>
    <t>,NAEB201R,; ,NAEB201RUS,; ,NAEB201US,; ,SAEB201R,; ,SAEB201RUS,</t>
  </si>
  <si>
    <t>NAEV071</t>
  </si>
  <si>
    <t>,NAEV201R,; ,NAEV201RUS,; ,NAEV201US,; ,SAEV201R,; ,SAEV201RUS,</t>
  </si>
  <si>
    <t>NAEV072</t>
  </si>
  <si>
    <t>,NAEV072R,; ,NAEV072RUS,; ,NAEV072US,; ,SAEV072R,; ,SAEV072RUS,</t>
  </si>
  <si>
    <t>NAEV101</t>
  </si>
  <si>
    <t>,NAEV101R,; ,NAEV101RUS,; ,NAEV101US,; ,SAEV101R,; ,SAEV101RUS,</t>
  </si>
  <si>
    <t>NAEV102</t>
  </si>
  <si>
    <t>,NAEV102R,; ,NAEV102RUS,; ,NAEV102US,; ,SAEV102R,; ,SAEV102RUS,</t>
  </si>
  <si>
    <t>NAEV201</t>
  </si>
  <si>
    <t>Piper</t>
  </si>
  <si>
    <t>HME061</t>
  </si>
  <si>
    <t>Rational</t>
  </si>
  <si>
    <t>Rational AG</t>
  </si>
  <si>
    <t>CMP 61 E</t>
  </si>
  <si>
    <t>CMP 62 E</t>
  </si>
  <si>
    <t>CMP61E
B6191***</t>
  </si>
  <si>
    <t>CMP101E
B1191***</t>
  </si>
  <si>
    <t>LM100BE</t>
  </si>
  <si>
    <t>ICP 6-FULL E (LM100CE)
CC1ERRA.*******</t>
  </si>
  <si>
    <t>LM100CE</t>
  </si>
  <si>
    <t>LM100DE</t>
  </si>
  <si>
    <t>LM100FE</t>
  </si>
  <si>
    <t>ICP 10-FULL E (LM100EE)
CE1ERRA.*******</t>
  </si>
  <si>
    <t>LM100EE</t>
  </si>
  <si>
    <t>LM11EE</t>
  </si>
  <si>
    <t>RATIONAL AG</t>
  </si>
  <si>
    <t>A1191*</t>
  </si>
  <si>
    <t>B6281*</t>
  </si>
  <si>
    <t>A6191*</t>
  </si>
  <si>
    <t>B6181*</t>
  </si>
  <si>
    <t>Retigo s.r.o.</t>
  </si>
  <si>
    <t>B 1011 i</t>
  </si>
  <si>
    <t>UNOX S.p.A.</t>
  </si>
  <si>
    <t>XAVC-06FS-EPa-xx</t>
  </si>
  <si>
    <t>XAVC-1011-EPx</t>
  </si>
  <si>
    <t>,XAVC-1011-EPL,</t>
  </si>
  <si>
    <t>XAVC-10FS-EPa-xx</t>
  </si>
  <si>
    <t>XEVC-0711-EP*-*</t>
  </si>
  <si>
    <t>XEVC-0711-EPR,XEVC-0711-EPR,</t>
  </si>
  <si>
    <t>XEVC-1011-EP*-*</t>
  </si>
  <si>
    <t>XEVC-1011-EPL,XEVC-1011-EPL-*,* - can be letter identification of aesthetic differences; XEVC-1011-EPR,XEVC-1011-EPR-*,* - can be letter identification of aesthetic differences</t>
  </si>
  <si>
    <t>XEVL-2011-DP*-*</t>
  </si>
  <si>
    <t>XEVL-2011-YP*-*</t>
  </si>
  <si>
    <t>Moffat</t>
  </si>
  <si>
    <t>EC40D4</t>
  </si>
  <si>
    <t>EC40D5</t>
  </si>
  <si>
    <t>EC40M5</t>
  </si>
  <si>
    <t>EC40M6</t>
  </si>
  <si>
    <t>Master data assembly spreadsheet V3</t>
  </si>
  <si>
    <t>Unox</t>
  </si>
  <si>
    <t>XAVC-16FS-EPR</t>
  </si>
  <si>
    <t>XACC-0513-EP*-*</t>
  </si>
  <si>
    <t>XAVC-0511-EPa-xx</t>
  </si>
  <si>
    <t>,XAVC-0511-EPL-208V,</t>
  </si>
  <si>
    <t>,XAVC-0511-EPL-240V,</t>
  </si>
  <si>
    <t>XEVC-0511-EP*-*</t>
  </si>
  <si>
    <t>XEVC-0511-EPL,XEVC-0511-EPL-*,* - can be letter identification of aesthetic differences; XEVC-0511-EPR,XEVC-0511-EPR-*,* - can be letter identification of aesthetic differences</t>
  </si>
  <si>
    <t xml:space="preserve">XAVC-16FS-EPR </t>
  </si>
  <si>
    <t>Combi_oven_data_3_15</t>
  </si>
  <si>
    <t>C</t>
  </si>
  <si>
    <t>Combi_oven_data_3_16</t>
  </si>
  <si>
    <t>D</t>
  </si>
  <si>
    <t>Combi_oven_data_3_17</t>
  </si>
  <si>
    <t>E</t>
  </si>
  <si>
    <t>Combi_oven_data_3_18</t>
  </si>
  <si>
    <t>F</t>
  </si>
  <si>
    <t>Combi_oven_data_3_19</t>
  </si>
  <si>
    <t>G</t>
  </si>
  <si>
    <t>Combi_oven_data_3_20</t>
  </si>
  <si>
    <t>H</t>
  </si>
  <si>
    <t>Combi_oven_data_3_21</t>
  </si>
  <si>
    <t>I</t>
  </si>
  <si>
    <t>Combi_oven_data_3_22</t>
  </si>
  <si>
    <t>J</t>
  </si>
  <si>
    <t>Combi_oven_data_3_23</t>
  </si>
  <si>
    <t>L</t>
  </si>
  <si>
    <t>Combi_oven_data_3_25</t>
  </si>
  <si>
    <t>O</t>
  </si>
  <si>
    <t>Combi_oven_data_3_26</t>
  </si>
  <si>
    <t>P</t>
  </si>
  <si>
    <t>Combi_oven_data_3_27</t>
  </si>
  <si>
    <t>Q</t>
  </si>
  <si>
    <t>Combi_oven_data_3_24</t>
  </si>
  <si>
    <t>N</t>
  </si>
  <si>
    <t>Legend</t>
  </si>
  <si>
    <t>Data from SMUD, some replicated in PGE (Preheat energy from PGE data) and preheat values from PGE, https://www.smud.org/-/media/Documents/Business-Solutions-and-Rebates/Express-Energy-Solutions-EES/Combi-Ovens.ashx</t>
  </si>
  <si>
    <t>Data from Excel files</t>
  </si>
  <si>
    <t>chosen for V3 incremental cost</t>
  </si>
  <si>
    <t>chosen for baseline incremental cost</t>
  </si>
  <si>
    <t>pan sizes</t>
  </si>
  <si>
    <t>Masked</t>
  </si>
  <si>
    <t>sum of all for pan size</t>
  </si>
  <si>
    <t>sum of passed pans in size</t>
  </si>
  <si>
    <t>% of pans in that size passing</t>
  </si>
  <si>
    <t>diff # brands that passed in pans</t>
  </si>
  <si>
    <t># of passing brands/ Brands available</t>
  </si>
  <si>
    <t>&lt;-manual edit based on table above and total brands in dataset, did not include masked data as a brand</t>
  </si>
  <si>
    <t>Overall passing % of pan sizes</t>
  </si>
  <si>
    <t>&lt;-check for total passes</t>
  </si>
  <si>
    <t>Failing Average values</t>
  </si>
  <si>
    <t>Passing Average values</t>
  </si>
  <si>
    <r>
      <t xml:space="preserve">**There are two extreme outliers </t>
    </r>
    <r>
      <rPr>
        <sz val="12"/>
        <color rgb="FF000000"/>
        <rFont val="Arial"/>
        <family val="2"/>
      </rPr>
      <t>for Steam mode idle graph: Blodgett at 25 kW and a masked data point at 13.2 kW that are not shown in order to see the rest of the data points more clearly</t>
    </r>
  </si>
  <si>
    <t>BLCT-6E</t>
  </si>
  <si>
    <t>BLCT-6E-H</t>
  </si>
  <si>
    <t>OES-3.10</t>
  </si>
  <si>
    <t>OES-6.10 Mini</t>
  </si>
  <si>
    <t>Competitor</t>
  </si>
  <si>
    <t>EL0980382</t>
  </si>
  <si>
    <t xml:space="preserve">SCC XS </t>
  </si>
  <si>
    <t>SCC XS(B608106.19)</t>
  </si>
  <si>
    <t>UNOX S.p.A</t>
  </si>
  <si>
    <t xml:space="preserve">XECC-0523-EPR </t>
  </si>
  <si>
    <t>Combi_oven_data_3_28</t>
  </si>
  <si>
    <t>R</t>
  </si>
  <si>
    <t>Combi_oven_data_3_29</t>
  </si>
  <si>
    <t>S</t>
  </si>
  <si>
    <t>X</t>
  </si>
  <si>
    <t>Y</t>
  </si>
  <si>
    <t>Point 1</t>
  </si>
  <si>
    <t>Point 2</t>
  </si>
  <si>
    <t>Price</t>
  </si>
  <si>
    <t>electric</t>
  </si>
  <si>
    <t>SCC WE 61</t>
  </si>
  <si>
    <t>SCC WE 62</t>
  </si>
  <si>
    <t>SCC WE 102</t>
  </si>
  <si>
    <t>SCC WE 101</t>
  </si>
  <si>
    <t>SCC WE 201</t>
  </si>
  <si>
    <t>XACC-0513-EPR,XACC-0513-EPR,</t>
  </si>
  <si>
    <t>https://www.webstaurantstore.com/convotherm-oes-6-10-mini-electric-boilerless-combi-oven-steamer-208-240v-3-phase/390OES61MINI.html?utm_source=google&amp;utm_medium=freeclicks&amp;utm_campaign=GoogleShopping</t>
  </si>
  <si>
    <t>Pratica</t>
  </si>
  <si>
    <t>EC3</t>
  </si>
  <si>
    <t>SCC102E
B1281***</t>
  </si>
  <si>
    <t>SCCWE61E
B6181***</t>
  </si>
  <si>
    <t>SCCWE62E
B6281***</t>
  </si>
  <si>
    <t>SCC102E</t>
  </si>
  <si>
    <t>** Masked data did not have data for efficiency levels, one convotherm data point is missing convection efficiency</t>
  </si>
  <si>
    <t>New Steam Mode Min</t>
  </si>
  <si>
    <t>No masked data available</t>
  </si>
  <si>
    <t>New Convect Mode Min</t>
  </si>
  <si>
    <t xml:space="preserve">other combis Previous Min </t>
  </si>
  <si>
    <t>other combis Previous Min</t>
  </si>
  <si>
    <t>Max for other combis</t>
  </si>
  <si>
    <t>ID</t>
  </si>
  <si>
    <t>Steam Idle Rate Max</t>
  </si>
  <si>
    <t>Convec. Idle Rate Max</t>
  </si>
  <si>
    <t>All 4 Metrics Pass or Fail</t>
  </si>
  <si>
    <t>Preheat energy (kWh)</t>
  </si>
  <si>
    <t>Steam Mode Preheat Energy (kWh)</t>
  </si>
  <si>
    <t>Convection Mode Preheat Energy (kWh)</t>
  </si>
  <si>
    <t>source</t>
  </si>
  <si>
    <t>combination</t>
  </si>
  <si>
    <t>https://www.centralrestaurant.com/Rational-B60810619-SelfCookingCenter-XS-6-2-3-E-Single-Half-Size-Electric-Combi-Oven-c105p295149.html</t>
  </si>
  <si>
    <t>petraequipment.com.au/unox-xecc-0523-epr-cheftop-mind-maps-electric-combi</t>
  </si>
  <si>
    <t>Data from nonqualified combi list 2018, and master data assembly</t>
  </si>
  <si>
    <t>SUm</t>
  </si>
  <si>
    <t>&lt;-manual edit based on table above and total brands in dataset (did not include masked in denominator)</t>
  </si>
  <si>
    <t>Data from excel files</t>
  </si>
  <si>
    <t>sehe061W</t>
  </si>
  <si>
    <t>add to other combi check PGE</t>
  </si>
  <si>
    <t>Potential 2/3 ovens</t>
  </si>
  <si>
    <t>retigo B 6231</t>
  </si>
  <si>
    <t>seems only in europ</t>
  </si>
  <si>
    <t>blue 1011 I, b</t>
  </si>
  <si>
    <t xml:space="preserve">Alto-Shaam VMC-H2, H3, and H4 series </t>
  </si>
  <si>
    <t>https://www.webstaurantstore.com/alto-shaam-vmc-h2-vector-h-series-multi-cook-oven-208-240v-1-phase-canadian-use/131VMCH2H.html</t>
  </si>
  <si>
    <t>https://d3ld6frh4bdurh.cloudfront.net/pdf/139-VMCH2.pdf</t>
  </si>
  <si>
    <t>recheck if genius MT C1-1 from eloma is still on themarket, is but fits a GN 1/1</t>
  </si>
  <si>
    <t>Eloma has two Jokers Joker B 2-3 and Joker MT 203</t>
  </si>
  <si>
    <t xml:space="preserve">called for jokers: </t>
  </si>
  <si>
    <t>https://eloma.aftersalestools.com/Aktuelle-Serie-USA-GER%c3%84TE-COMPACT-PRO-6-05-Eloma-USA-COMPACT-PRO-6-23-Bedienung-Oben,-Rechtsanschlag,-Elektro,-3-AC-208-240V-50-60Hz-6,4-8,5KW,-Frischdampfsystem,-autoclean%c2%ae-PRO-Fl/EL2110110062140000/SP/</t>
  </si>
  <si>
    <t>Eloma 623</t>
  </si>
  <si>
    <t>not finding sales in the USA, goes back to Joker</t>
  </si>
  <si>
    <t>Steam Mode Average Water Consumption Rate (gal/pan)</t>
  </si>
  <si>
    <t>Convection Mode Average Water Consumption Rate (gal/pan)</t>
  </si>
  <si>
    <t>Enclosed are the ENERGY STAR Commercial Oven data and analysis supporting the proposed requirements in the Final Draft Version 3.0 ENERGY STAR specification. The following tabs are included in this workbook:</t>
  </si>
  <si>
    <t xml:space="preserve">In worksheets 6-12, the green lines represent the proposed ENERGY STAR Version 3.0 Draft 1 levels. The black lines represent the current ENERGY STAR Version 2.2 levels (where applicable) </t>
  </si>
  <si>
    <t>&lt; 0.5 gallons per pan</t>
  </si>
  <si>
    <t>&lt; 0.4 gallons per pan</t>
  </si>
  <si>
    <t>Table 1: V3.0 Idle and Efficiency Requirements (Final Draft)</t>
  </si>
  <si>
    <t>Convection Mode Average Water Consumption Rate (gal/hr)</t>
  </si>
  <si>
    <t>Combination 3-4 Pan Capacity &amp; 2/3-size with 3-5 Pan Capacity</t>
  </si>
  <si>
    <t>Table 7: ENERGY STAR QPL Data used to determine proposed water consumption rate criteria for combination ovens during the cooking period in steam and convection modes</t>
  </si>
  <si>
    <t>Convection Mode Cooking Energy Efficiency (%)</t>
  </si>
  <si>
    <r>
      <t>Note</t>
    </r>
    <r>
      <rPr>
        <sz val="11"/>
        <color theme="1"/>
        <rFont val="Calibri"/>
        <family val="2"/>
        <scheme val="minor"/>
      </rPr>
      <t xml:space="preserve">: EPA analyzes payback by assessing whether it is reasonable to expect that a range of models will have favorable consumer payback at the proposed efficiency level. To do this, EPA focuses on identifying and comparing a limited set of like-models (a model at or near the federal standard, or in the case of products not subject to federal standards such as commercial ovens one that represents the performance of a conventional model versus a model at or just beyond the proposed ENERGY STAR criteria), with the goal of isolating the incremental cost due to the efficiency improvements. 
For the Draft 2 Version 3.0, EPA gathered pricing information in July 2021 from AutoQuotes and online retailers. EPA identified a sample of models with similar characteristics (unrelated to energy consumption). By comparing models at or near baseline levels at or just beyond the ENERGY STAR Version 5.0 proposed levels, EPA developed an estimate for the incremental price a consumer would pay for increased efficiency. 
</t>
    </r>
  </si>
  <si>
    <t>Combi Ovens: If Pass or Fail  6 Metrics</t>
  </si>
  <si>
    <r>
      <rPr>
        <u/>
        <sz val="14"/>
        <color theme="1"/>
        <rFont val="Calibri"/>
        <family val="2"/>
        <scheme val="minor"/>
      </rPr>
      <t>12. Water Consumption Charts Data:</t>
    </r>
    <r>
      <rPr>
        <sz val="14"/>
        <color theme="1"/>
        <rFont val="Calibri"/>
        <family val="2"/>
        <scheme val="minor"/>
      </rPr>
      <t xml:space="preserve"> Proposed water consumption rates for combination ovens during cooking periods in steam and convection mode, along with water data used to generate the water levels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</si>
</sst>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_(* #,##0_);_(* \(#,##0\);_(* &quot;-&quot;??_);_(@_)"/>
    <numFmt numFmtId="165" formatCode="_(* #,##0.0_);_(* \(#,##0.0\);_(* &quot;-&quot;??_);_(@_)"/>
    <numFmt numFmtId="166" formatCode="0.0"/>
  </numFmts>
  <fonts count="46"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0"/>
      <color rgb="FF000000"/>
      <name val="Arial"/>
      <family val="2"/>
    </font>
    <font>
      <sz val="11"/>
      <name val="Calibri"/>
      <family val="2"/>
    </font>
    <font>
      <sz val="10"/>
      <color rgb="FF000000"/>
      <name val="Arial"/>
      <family val="2"/>
    </font>
    <font>
      <u/>
      <sz val="11"/>
      <color theme="10"/>
      <name val="Calibri"/>
      <family val="2"/>
      <scheme val="minor"/>
    </font>
    <font>
      <sz val="11"/>
      <name val="Calibri"/>
      <family val="2"/>
      <scheme val="minor"/>
    </font>
    <font>
      <sz val="14"/>
      <color theme="1"/>
      <name val="Calibri"/>
      <family val="2"/>
      <scheme val="minor"/>
    </font>
    <font>
      <b/>
      <sz val="11"/>
      <name val="Calibri"/>
      <family val="2"/>
      <scheme val="minor"/>
    </font>
    <font>
      <sz val="10"/>
      <name val="Arial"/>
      <family val="2"/>
    </font>
    <font>
      <sz val="11"/>
      <color rgb="FF000000"/>
      <name val="Arial"/>
      <family val="2"/>
    </font>
    <font>
      <vertAlign val="subscript"/>
      <sz val="10"/>
      <name val="Arial"/>
      <family val="2"/>
    </font>
    <font>
      <sz val="11"/>
      <color theme="1"/>
      <name val="Arial"/>
      <family val="2"/>
    </font>
    <font>
      <sz val="10"/>
      <color theme="1"/>
      <name val="Arial"/>
      <family val="2"/>
    </font>
    <font>
      <b/>
      <sz val="10"/>
      <color theme="1"/>
      <name val="Arial"/>
      <family val="2"/>
    </font>
    <font>
      <vertAlign val="subscript"/>
      <sz val="10"/>
      <color theme="1"/>
      <name val="Arial"/>
      <family val="2"/>
    </font>
    <font>
      <u/>
      <sz val="10"/>
      <color rgb="FF000000"/>
      <name val="Arial"/>
      <family val="2"/>
    </font>
    <font>
      <b/>
      <sz val="10"/>
      <name val="Arial"/>
      <family val="2"/>
    </font>
    <font>
      <sz val="12"/>
      <color rgb="FF000000"/>
      <name val="Arial"/>
      <family val="2"/>
    </font>
    <font>
      <sz val="11"/>
      <color rgb="FF000000"/>
      <name val="Calibri"/>
      <family val="2"/>
      <scheme val="minor"/>
    </font>
    <font>
      <sz val="14"/>
      <name val="Calibri"/>
      <family val="2"/>
      <scheme val="minor"/>
    </font>
    <font>
      <u/>
      <sz val="10"/>
      <name val="Arial"/>
      <family val="2"/>
    </font>
    <font>
      <sz val="9"/>
      <color indexed="81"/>
      <name val="Tahoma"/>
      <family val="2"/>
    </font>
    <font>
      <b/>
      <sz val="9"/>
      <color indexed="81"/>
      <name val="Tahoma"/>
      <family val="2"/>
    </font>
    <font>
      <sz val="24"/>
      <color theme="0"/>
      <name val="Calibri"/>
      <family val="2"/>
      <scheme val="minor"/>
    </font>
    <font>
      <sz val="24"/>
      <color theme="1"/>
      <name val="Calibri"/>
      <family val="2"/>
      <scheme val="minor"/>
    </font>
    <font>
      <u/>
      <sz val="11"/>
      <color theme="1"/>
      <name val="Calibri"/>
      <family val="2"/>
      <scheme val="minor"/>
    </font>
    <font>
      <b/>
      <sz val="14"/>
      <name val="Calibri"/>
      <family val="2"/>
      <scheme val="minor"/>
    </font>
    <font>
      <b/>
      <sz val="12"/>
      <name val="Calibri"/>
      <family val="2"/>
      <scheme val="minor"/>
    </font>
    <font>
      <strike/>
      <sz val="11"/>
      <color theme="1"/>
      <name val="Calibri"/>
      <family val="2"/>
      <scheme val="minor"/>
    </font>
    <font>
      <sz val="8"/>
      <name val="Calibri"/>
      <family val="2"/>
      <scheme val="minor"/>
    </font>
    <font>
      <sz val="9"/>
      <color theme="1"/>
      <name val="Calibri"/>
      <family val="2"/>
      <scheme val="minor"/>
    </font>
    <font>
      <sz val="9"/>
      <color theme="9"/>
      <name val="Calibri"/>
      <family val="2"/>
      <scheme val="minor"/>
    </font>
    <font>
      <b/>
      <sz val="9"/>
      <color theme="9"/>
      <name val="Calibri"/>
      <family val="2"/>
      <scheme val="minor"/>
    </font>
    <font>
      <sz val="9"/>
      <color theme="1"/>
      <name val="Calibri"/>
      <family val="2"/>
    </font>
    <font>
      <sz val="9"/>
      <name val="Calibri"/>
      <family val="2"/>
      <scheme val="minor"/>
    </font>
    <font>
      <b/>
      <sz val="12"/>
      <color rgb="FF000000"/>
      <name val="Arial"/>
      <family val="2"/>
    </font>
    <font>
      <u/>
      <sz val="14"/>
      <color theme="1"/>
      <name val="Calibri"/>
      <family val="2"/>
      <scheme val="minor"/>
    </font>
    <font>
      <b/>
      <sz val="22"/>
      <color theme="1"/>
      <name val="Calibri"/>
      <family val="2"/>
      <scheme val="minor"/>
    </font>
    <font>
      <sz val="11"/>
      <color rgb="FF1947EF"/>
      <name val="Calibri"/>
      <family val="2"/>
      <scheme val="minor"/>
    </font>
    <font>
      <sz val="11"/>
      <name val="Calibri Light"/>
      <family val="2"/>
      <scheme val="major"/>
    </font>
    <font>
      <sz val="8"/>
      <color theme="1"/>
      <name val="Arial"/>
      <family val="2"/>
    </font>
    <font>
      <sz val="11"/>
      <color rgb="FF25C6FF"/>
      <name val="Calibri"/>
      <family val="2"/>
      <scheme val="minor"/>
    </font>
    <font>
      <u/>
      <sz val="10"/>
      <color theme="1"/>
      <name val="Arial"/>
      <family val="2"/>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rgb="FFFFFF00"/>
        <bgColor indexed="64"/>
      </patternFill>
    </fill>
    <fill>
      <patternFill patternType="solid">
        <fgColor rgb="FFBFBFBF"/>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3"/>
        <bgColor indexed="64"/>
      </patternFill>
    </fill>
    <fill>
      <patternFill patternType="solid">
        <fgColor theme="3" tint="0.59999389629810485"/>
        <bgColor indexed="64"/>
      </patternFill>
    </fill>
    <fill>
      <patternFill patternType="solid">
        <fgColor rgb="FF25C6FF"/>
        <bgColor indexed="64"/>
      </patternFill>
    </fill>
    <fill>
      <patternFill patternType="solid">
        <fgColor theme="3" tint="0.39997558519241921"/>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top style="medium">
        <color indexed="64"/>
      </top>
      <bottom/>
      <diagonal/>
    </border>
    <border>
      <left/>
      <right style="medium">
        <color indexed="64"/>
      </right>
      <top/>
      <bottom style="medium">
        <color indexed="64"/>
      </bottom>
      <diagonal/>
    </border>
    <border>
      <left style="thin">
        <color indexed="64"/>
      </left>
      <right style="thin">
        <color indexed="64"/>
      </right>
      <top/>
      <bottom/>
      <diagonal/>
    </border>
    <border>
      <left/>
      <right style="thin">
        <color auto="1"/>
      </right>
      <top/>
      <bottom/>
      <diagonal/>
    </border>
    <border>
      <left/>
      <right/>
      <top/>
      <bottom style="thick">
        <color rgb="FF00B0F0"/>
      </bottom>
      <diagonal/>
    </border>
    <border>
      <left/>
      <right style="thick">
        <color rgb="FF00B0F0"/>
      </right>
      <top/>
      <bottom/>
      <diagonal/>
    </border>
    <border>
      <left/>
      <right style="thick">
        <color rgb="FF00B0F0"/>
      </right>
      <top/>
      <bottom style="thick">
        <color rgb="FF00B0F0"/>
      </bottom>
      <diagonal/>
    </border>
    <border>
      <left style="double">
        <color indexed="64"/>
      </left>
      <right/>
      <top/>
      <bottom/>
      <diagonal/>
    </border>
    <border>
      <left/>
      <right style="double">
        <color auto="1"/>
      </right>
      <top/>
      <bottom/>
      <diagonal/>
    </border>
  </borders>
  <cellStyleXfs count="32">
    <xf numFmtId="0" fontId="0" fillId="0" borderId="0"/>
    <xf numFmtId="9" fontId="1" fillId="0" borderId="0" applyFont="0" applyFill="0" applyBorder="0" applyAlignment="0" applyProtection="0"/>
    <xf numFmtId="0" fontId="4" fillId="0" borderId="0"/>
    <xf numFmtId="9" fontId="6" fillId="0" borderId="0" applyFont="0" applyFill="0" applyBorder="0" applyAlignment="0" applyProtection="0"/>
    <xf numFmtId="0" fontId="7" fillId="0" borderId="0" applyNumberForma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4" fillId="0" borderId="0"/>
    <xf numFmtId="0" fontId="5" fillId="0" borderId="0"/>
    <xf numFmtId="44" fontId="1" fillId="0" borderId="0" applyFont="0" applyFill="0" applyBorder="0" applyAlignment="0" applyProtection="0"/>
    <xf numFmtId="43" fontId="1" fillId="0" borderId="0" applyFont="0" applyFill="0" applyBorder="0" applyAlignment="0" applyProtection="0"/>
    <xf numFmtId="0" fontId="11" fillId="0" borderId="0"/>
    <xf numFmtId="0" fontId="1" fillId="0" borderId="0"/>
    <xf numFmtId="9" fontId="1" fillId="0" borderId="0" applyFont="0" applyFill="0" applyBorder="0" applyAlignment="0" applyProtection="0"/>
    <xf numFmtId="0" fontId="6" fillId="0" borderId="0"/>
    <xf numFmtId="0" fontId="1" fillId="0" borderId="0"/>
    <xf numFmtId="9" fontId="11" fillId="0" borderId="0" applyFont="0" applyFill="0" applyBorder="0" applyAlignment="0" applyProtection="0"/>
    <xf numFmtId="0" fontId="11" fillId="0" borderId="0"/>
    <xf numFmtId="43" fontId="1" fillId="0" borderId="0" applyFont="0" applyFill="0" applyBorder="0" applyAlignment="0" applyProtection="0"/>
    <xf numFmtId="44" fontId="1"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0" fontId="1" fillId="0" borderId="0"/>
    <xf numFmtId="43" fontId="11" fillId="0" borderId="0" applyFont="0" applyFill="0" applyBorder="0" applyAlignment="0" applyProtection="0"/>
    <xf numFmtId="0" fontId="1" fillId="0" borderId="0"/>
    <xf numFmtId="0" fontId="4" fillId="0" borderId="0"/>
    <xf numFmtId="43" fontId="4" fillId="0" borderId="0" applyFont="0" applyFill="0" applyBorder="0" applyAlignment="0" applyProtection="0"/>
  </cellStyleXfs>
  <cellXfs count="249">
    <xf numFmtId="0" fontId="0" fillId="0" borderId="0" xfId="0"/>
    <xf numFmtId="0" fontId="4" fillId="3" borderId="0" xfId="2" applyFill="1"/>
    <xf numFmtId="0" fontId="14" fillId="3" borderId="0" xfId="8" applyFont="1" applyFill="1"/>
    <xf numFmtId="0" fontId="3" fillId="0" borderId="0" xfId="2" applyFont="1"/>
    <xf numFmtId="0" fontId="14" fillId="3" borderId="0" xfId="8" applyFont="1" applyFill="1" applyAlignment="1">
      <alignment vertical="center"/>
    </xf>
    <xf numFmtId="0" fontId="15" fillId="7" borderId="1" xfId="8" applyFont="1" applyFill="1" applyBorder="1" applyAlignment="1">
      <alignment horizontal="center" vertical="center" wrapText="1"/>
    </xf>
    <xf numFmtId="0" fontId="6" fillId="3" borderId="0" xfId="19" applyFill="1"/>
    <xf numFmtId="0" fontId="16" fillId="3" borderId="0" xfId="19" applyFont="1" applyFill="1" applyAlignment="1">
      <alignment vertical="center"/>
    </xf>
    <xf numFmtId="0" fontId="11" fillId="2" borderId="1" xfId="0" applyFont="1" applyFill="1" applyBorder="1" applyAlignment="1">
      <alignment horizontal="center" vertical="center" wrapText="1"/>
    </xf>
    <xf numFmtId="0" fontId="0" fillId="3" borderId="0" xfId="0" applyFill="1"/>
    <xf numFmtId="0" fontId="16" fillId="6" borderId="10" xfId="0" applyFont="1" applyFill="1" applyBorder="1" applyAlignment="1">
      <alignment horizontal="center" vertical="center" wrapText="1"/>
    </xf>
    <xf numFmtId="0" fontId="3" fillId="0" borderId="1" xfId="8" applyFont="1" applyBorder="1" applyAlignment="1">
      <alignment horizontal="center" vertical="center"/>
    </xf>
    <xf numFmtId="0" fontId="0" fillId="0" borderId="0" xfId="0" applyAlignment="1">
      <alignment wrapText="1"/>
    </xf>
    <xf numFmtId="0" fontId="4" fillId="2" borderId="10" xfId="0" applyFont="1" applyFill="1" applyBorder="1" applyAlignment="1">
      <alignment vertical="center"/>
    </xf>
    <xf numFmtId="0" fontId="2" fillId="0" borderId="0" xfId="0" applyFont="1"/>
    <xf numFmtId="0" fontId="3" fillId="0" borderId="0" xfId="0" applyFont="1"/>
    <xf numFmtId="38" fontId="11" fillId="3" borderId="0" xfId="0" applyNumberFormat="1" applyFont="1" applyFill="1" applyAlignment="1">
      <alignment horizontal="left" vertical="top" wrapText="1"/>
    </xf>
    <xf numFmtId="0" fontId="3" fillId="3" borderId="0" xfId="8" applyFont="1" applyFill="1" applyAlignment="1">
      <alignment horizontal="center" vertical="center"/>
    </xf>
    <xf numFmtId="164" fontId="16" fillId="3" borderId="0" xfId="8" applyNumberFormat="1" applyFont="1" applyFill="1" applyAlignment="1">
      <alignment horizontal="right" vertical="center"/>
    </xf>
    <xf numFmtId="0" fontId="0" fillId="3" borderId="20" xfId="0" applyFill="1" applyBorder="1"/>
    <xf numFmtId="0" fontId="0" fillId="3" borderId="21" xfId="0" applyFill="1" applyBorder="1"/>
    <xf numFmtId="0" fontId="0" fillId="3" borderId="22" xfId="0" applyFill="1" applyBorder="1"/>
    <xf numFmtId="0" fontId="16" fillId="7" borderId="1" xfId="8" applyFont="1" applyFill="1" applyBorder="1" applyAlignment="1">
      <alignment horizontal="center" wrapText="1"/>
    </xf>
    <xf numFmtId="166" fontId="0" fillId="0" borderId="0" xfId="0" applyNumberFormat="1"/>
    <xf numFmtId="0" fontId="0" fillId="3" borderId="0" xfId="8" applyFont="1" applyFill="1" applyAlignment="1">
      <alignment horizontal="left" vertical="center" wrapText="1"/>
    </xf>
    <xf numFmtId="2" fontId="0" fillId="0" borderId="0" xfId="0" applyNumberFormat="1"/>
    <xf numFmtId="0" fontId="0" fillId="0" borderId="23" xfId="0" applyBorder="1" applyAlignment="1">
      <alignment wrapText="1"/>
    </xf>
    <xf numFmtId="0" fontId="8" fillId="0" borderId="0" xfId="0" applyFont="1" applyAlignment="1">
      <alignment horizontal="right" wrapText="1"/>
    </xf>
    <xf numFmtId="0" fontId="8" fillId="0" borderId="0" xfId="0" applyFont="1" applyAlignment="1">
      <alignment horizontal="right"/>
    </xf>
    <xf numFmtId="0" fontId="8" fillId="0" borderId="23" xfId="0" applyFont="1" applyBorder="1"/>
    <xf numFmtId="0" fontId="8" fillId="0" borderId="0" xfId="0" applyFont="1"/>
    <xf numFmtId="0" fontId="8" fillId="10" borderId="0" xfId="0" applyFont="1" applyFill="1"/>
    <xf numFmtId="2" fontId="8" fillId="10" borderId="0" xfId="0" applyNumberFormat="1" applyFont="1" applyFill="1"/>
    <xf numFmtId="37" fontId="8" fillId="10" borderId="0" xfId="23" applyNumberFormat="1" applyFont="1" applyFill="1" applyBorder="1"/>
    <xf numFmtId="0" fontId="8" fillId="0" borderId="0" xfId="0" applyFont="1" applyAlignment="1">
      <alignment horizontal="left"/>
    </xf>
    <xf numFmtId="0" fontId="8" fillId="8" borderId="0" xfId="0" applyFont="1" applyFill="1"/>
    <xf numFmtId="2" fontId="8" fillId="8" borderId="0" xfId="0" applyNumberFormat="1" applyFont="1" applyFill="1"/>
    <xf numFmtId="1" fontId="8" fillId="8" borderId="0" xfId="0" applyNumberFormat="1" applyFont="1" applyFill="1"/>
    <xf numFmtId="2" fontId="8" fillId="0" borderId="0" xfId="0" applyNumberFormat="1" applyFont="1"/>
    <xf numFmtId="37" fontId="8" fillId="8" borderId="0" xfId="23" applyNumberFormat="1" applyFont="1" applyFill="1"/>
    <xf numFmtId="2" fontId="8" fillId="0" borderId="23" xfId="0" applyNumberFormat="1" applyFont="1" applyBorder="1"/>
    <xf numFmtId="0" fontId="8" fillId="5" borderId="0" xfId="0" applyFont="1" applyFill="1"/>
    <xf numFmtId="0" fontId="8" fillId="0" borderId="13" xfId="0" applyFont="1" applyBorder="1" applyAlignment="1">
      <alignment horizontal="right"/>
    </xf>
    <xf numFmtId="37" fontId="8" fillId="10" borderId="0" xfId="23" applyNumberFormat="1" applyFont="1" applyFill="1"/>
    <xf numFmtId="0" fontId="8" fillId="0" borderId="0" xfId="0" applyFont="1" applyAlignment="1">
      <alignment horizontal="center" vertical="center"/>
    </xf>
    <xf numFmtId="0" fontId="3" fillId="0" borderId="0" xfId="0" applyFont="1" applyAlignment="1">
      <alignment wrapText="1"/>
    </xf>
    <xf numFmtId="1" fontId="0" fillId="0" borderId="0" xfId="0" applyNumberFormat="1"/>
    <xf numFmtId="0" fontId="8" fillId="0" borderId="13" xfId="0" applyFont="1" applyBorder="1"/>
    <xf numFmtId="0" fontId="8" fillId="0" borderId="15" xfId="0" applyFont="1" applyBorder="1"/>
    <xf numFmtId="0" fontId="10" fillId="0" borderId="0" xfId="0" applyFont="1"/>
    <xf numFmtId="0" fontId="0" fillId="0" borderId="13" xfId="0" applyBorder="1" applyAlignment="1">
      <alignment wrapText="1"/>
    </xf>
    <xf numFmtId="9" fontId="8" fillId="0" borderId="0" xfId="1" applyFont="1"/>
    <xf numFmtId="0" fontId="8" fillId="0" borderId="0" xfId="0" applyFont="1" applyAlignment="1">
      <alignment wrapText="1"/>
    </xf>
    <xf numFmtId="0" fontId="10" fillId="0" borderId="0" xfId="0" applyFont="1" applyAlignment="1">
      <alignment wrapText="1"/>
    </xf>
    <xf numFmtId="0" fontId="8" fillId="0" borderId="23" xfId="0" applyFont="1" applyBorder="1" applyAlignment="1">
      <alignment wrapText="1"/>
    </xf>
    <xf numFmtId="1" fontId="8" fillId="0" borderId="0" xfId="0" applyNumberFormat="1" applyFont="1"/>
    <xf numFmtId="0" fontId="8" fillId="11" borderId="0" xfId="0" applyFont="1" applyFill="1"/>
    <xf numFmtId="37" fontId="8" fillId="0" borderId="0" xfId="23" applyNumberFormat="1" applyFont="1" applyAlignment="1">
      <alignment wrapText="1"/>
    </xf>
    <xf numFmtId="0" fontId="8" fillId="0" borderId="0" xfId="0" applyFont="1" applyAlignment="1">
      <alignment horizontal="center" vertical="center" wrapText="1"/>
    </xf>
    <xf numFmtId="37" fontId="8" fillId="0" borderId="0" xfId="23" applyNumberFormat="1" applyFont="1"/>
    <xf numFmtId="0" fontId="10" fillId="0" borderId="0" xfId="0" applyFont="1" applyAlignment="1">
      <alignment vertical="center" textRotation="90"/>
    </xf>
    <xf numFmtId="0" fontId="10" fillId="5" borderId="0" xfId="0" applyFont="1" applyFill="1" applyAlignment="1">
      <alignment vertical="center" textRotation="90"/>
    </xf>
    <xf numFmtId="37" fontId="8" fillId="8" borderId="0" xfId="23" applyNumberFormat="1" applyFont="1" applyFill="1" applyBorder="1"/>
    <xf numFmtId="2" fontId="8" fillId="0" borderId="0" xfId="23" applyNumberFormat="1" applyFont="1"/>
    <xf numFmtId="0" fontId="8" fillId="0" borderId="0" xfId="0" applyFont="1" applyAlignment="1">
      <alignment vertical="center"/>
    </xf>
    <xf numFmtId="0" fontId="8" fillId="0" borderId="24" xfId="0" applyFont="1" applyBorder="1"/>
    <xf numFmtId="164" fontId="15" fillId="0" borderId="1" xfId="23" applyNumberFormat="1" applyFont="1" applyBorder="1" applyAlignment="1">
      <alignment horizontal="right" vertical="center"/>
    </xf>
    <xf numFmtId="0" fontId="0" fillId="0" borderId="19" xfId="0" applyBorder="1"/>
    <xf numFmtId="1" fontId="15" fillId="0" borderId="1" xfId="8" applyNumberFormat="1" applyFont="1" applyBorder="1" applyAlignment="1">
      <alignment horizontal="right" vertical="center"/>
    </xf>
    <xf numFmtId="0" fontId="34" fillId="0" borderId="0" xfId="0" applyFont="1" applyAlignment="1">
      <alignment wrapText="1"/>
    </xf>
    <xf numFmtId="0" fontId="33" fillId="0" borderId="0" xfId="0" applyFont="1" applyAlignment="1">
      <alignment wrapText="1"/>
    </xf>
    <xf numFmtId="0" fontId="33" fillId="0" borderId="0" xfId="0" applyFont="1"/>
    <xf numFmtId="0" fontId="0" fillId="11" borderId="1" xfId="0" applyFill="1" applyBorder="1"/>
    <xf numFmtId="0" fontId="0" fillId="5" borderId="1" xfId="0" applyFill="1" applyBorder="1"/>
    <xf numFmtId="0" fontId="35" fillId="0" borderId="0" xfId="0" applyFont="1" applyAlignment="1">
      <alignment wrapText="1"/>
    </xf>
    <xf numFmtId="0" fontId="35" fillId="0" borderId="0" xfId="0" applyFont="1" applyAlignment="1">
      <alignment horizontal="center" wrapText="1"/>
    </xf>
    <xf numFmtId="0" fontId="35" fillId="0" borderId="0" xfId="0" applyFont="1"/>
    <xf numFmtId="1" fontId="33" fillId="0" borderId="0" xfId="23" applyNumberFormat="1" applyFont="1"/>
    <xf numFmtId="0" fontId="36" fillId="0" borderId="0" xfId="0" applyFont="1" applyAlignment="1">
      <alignment horizontal="center" vertical="center"/>
    </xf>
    <xf numFmtId="0" fontId="0" fillId="0" borderId="14" xfId="0" applyBorder="1"/>
    <xf numFmtId="0" fontId="34" fillId="0" borderId="0" xfId="0" applyFont="1"/>
    <xf numFmtId="0" fontId="37" fillId="0" borderId="0" xfId="0" applyFont="1"/>
    <xf numFmtId="9" fontId="35" fillId="0" borderId="0" xfId="0" applyNumberFormat="1" applyFont="1" applyAlignment="1">
      <alignment horizontal="center"/>
    </xf>
    <xf numFmtId="0" fontId="35" fillId="0" borderId="0" xfId="0" applyFont="1" applyAlignment="1">
      <alignment horizontal="center"/>
    </xf>
    <xf numFmtId="2" fontId="0" fillId="0" borderId="0" xfId="0" applyNumberFormat="1" applyAlignment="1">
      <alignment wrapText="1"/>
    </xf>
    <xf numFmtId="1" fontId="0" fillId="0" borderId="0" xfId="0" applyNumberFormat="1" applyAlignment="1">
      <alignment wrapText="1"/>
    </xf>
    <xf numFmtId="9" fontId="0" fillId="0" borderId="0" xfId="1" applyFont="1" applyAlignment="1">
      <alignment wrapText="1"/>
    </xf>
    <xf numFmtId="0" fontId="0" fillId="3" borderId="2" xfId="0" applyFill="1" applyBorder="1"/>
    <xf numFmtId="37" fontId="0" fillId="3" borderId="2" xfId="23" applyNumberFormat="1" applyFont="1" applyFill="1" applyBorder="1"/>
    <xf numFmtId="0" fontId="0" fillId="3" borderId="11" xfId="0" applyFill="1" applyBorder="1"/>
    <xf numFmtId="37" fontId="8" fillId="0" borderId="0" xfId="23" applyNumberFormat="1" applyFont="1" applyBorder="1"/>
    <xf numFmtId="0" fontId="10" fillId="0" borderId="0" xfId="0" applyFont="1" applyAlignment="1">
      <alignment horizontal="center" vertical="center"/>
    </xf>
    <xf numFmtId="37" fontId="10" fillId="0" borderId="0" xfId="23" applyNumberFormat="1" applyFont="1" applyAlignment="1">
      <alignment horizontal="center" vertical="center"/>
    </xf>
    <xf numFmtId="0" fontId="8" fillId="0" borderId="0" xfId="0" applyFont="1" applyAlignment="1">
      <alignment horizontal="right" vertical="center"/>
    </xf>
    <xf numFmtId="0" fontId="8" fillId="0" borderId="14" xfId="0" applyFont="1" applyBorder="1" applyAlignment="1">
      <alignment horizontal="center" vertical="center"/>
    </xf>
    <xf numFmtId="0" fontId="10" fillId="0" borderId="13" xfId="0" applyFont="1" applyBorder="1" applyAlignment="1">
      <alignment wrapText="1"/>
    </xf>
    <xf numFmtId="9" fontId="8" fillId="0" borderId="0" xfId="0" applyNumberFormat="1" applyFont="1"/>
    <xf numFmtId="0" fontId="8" fillId="0" borderId="1" xfId="0" applyFont="1" applyBorder="1"/>
    <xf numFmtId="0" fontId="22" fillId="12" borderId="1" xfId="0" applyFont="1" applyFill="1" applyBorder="1"/>
    <xf numFmtId="0" fontId="22" fillId="3" borderId="2" xfId="0" applyFont="1" applyFill="1" applyBorder="1"/>
    <xf numFmtId="37" fontId="22" fillId="3" borderId="2" xfId="23" applyNumberFormat="1" applyFont="1" applyFill="1" applyBorder="1"/>
    <xf numFmtId="0" fontId="22" fillId="3" borderId="11" xfId="0" applyFont="1" applyFill="1" applyBorder="1"/>
    <xf numFmtId="0" fontId="22" fillId="8" borderId="1" xfId="0" applyFont="1" applyFill="1" applyBorder="1"/>
    <xf numFmtId="0" fontId="22" fillId="11" borderId="1" xfId="0" applyFont="1" applyFill="1" applyBorder="1"/>
    <xf numFmtId="0" fontId="22" fillId="5" borderId="1" xfId="0" applyFont="1" applyFill="1" applyBorder="1"/>
    <xf numFmtId="0" fontId="29" fillId="0" borderId="0" xfId="0" applyFont="1" applyAlignment="1">
      <alignment vertical="center"/>
    </xf>
    <xf numFmtId="0" fontId="22" fillId="0" borderId="0" xfId="0" applyFont="1"/>
    <xf numFmtId="0" fontId="38" fillId="7" borderId="1" xfId="2" applyFont="1" applyFill="1" applyBorder="1" applyAlignment="1">
      <alignment horizontal="center" vertical="center" wrapText="1"/>
    </xf>
    <xf numFmtId="0" fontId="20" fillId="0" borderId="1" xfId="2" applyFont="1" applyBorder="1"/>
    <xf numFmtId="0" fontId="20" fillId="0" borderId="1" xfId="2" applyFont="1" applyBorder="1" applyAlignment="1">
      <alignment horizontal="center" vertical="center"/>
    </xf>
    <xf numFmtId="0" fontId="20" fillId="0" borderId="1" xfId="2" applyFont="1" applyBorder="1" applyAlignment="1">
      <alignment horizontal="center" vertical="center" wrapText="1"/>
    </xf>
    <xf numFmtId="0" fontId="20" fillId="0" borderId="3" xfId="2" applyFont="1" applyBorder="1" applyAlignment="1">
      <alignment horizontal="center" vertical="center"/>
    </xf>
    <xf numFmtId="1" fontId="20" fillId="0" borderId="1" xfId="2" applyNumberFormat="1" applyFont="1" applyBorder="1" applyAlignment="1">
      <alignment horizontal="center" vertical="center"/>
    </xf>
    <xf numFmtId="3" fontId="20" fillId="0" borderId="1" xfId="2" applyNumberFormat="1" applyFont="1" applyBorder="1" applyAlignment="1">
      <alignment horizontal="center" vertical="center"/>
    </xf>
    <xf numFmtId="3" fontId="20" fillId="0" borderId="1" xfId="2" quotePrefix="1" applyNumberFormat="1" applyFont="1" applyBorder="1" applyAlignment="1">
      <alignment horizontal="center" vertical="center"/>
    </xf>
    <xf numFmtId="37" fontId="8" fillId="0" borderId="0" xfId="23" applyNumberFormat="1" applyFont="1" applyFill="1" applyBorder="1"/>
    <xf numFmtId="39" fontId="8" fillId="0" borderId="0" xfId="23" applyNumberFormat="1" applyFont="1" applyFill="1" applyBorder="1"/>
    <xf numFmtId="0" fontId="38" fillId="0" borderId="0" xfId="0" applyFont="1" applyAlignment="1">
      <alignment horizontal="left" vertical="center" readingOrder="1"/>
    </xf>
    <xf numFmtId="0" fontId="20" fillId="0" borderId="0" xfId="0" applyFont="1" applyAlignment="1">
      <alignment horizontal="left" vertical="center" readingOrder="1"/>
    </xf>
    <xf numFmtId="37" fontId="8" fillId="0" borderId="0" xfId="23" applyNumberFormat="1" applyFont="1" applyFill="1" applyBorder="1" applyAlignment="1">
      <alignment wrapText="1"/>
    </xf>
    <xf numFmtId="0" fontId="8" fillId="0" borderId="0" xfId="0" applyFont="1" applyAlignment="1">
      <alignment horizontal="center"/>
    </xf>
    <xf numFmtId="0" fontId="8" fillId="0" borderId="0" xfId="0" applyFont="1" applyAlignment="1">
      <alignment horizontal="center" wrapText="1"/>
    </xf>
    <xf numFmtId="0" fontId="8" fillId="10" borderId="24" xfId="0" applyFont="1" applyFill="1" applyBorder="1"/>
    <xf numFmtId="0" fontId="8" fillId="0" borderId="0" xfId="0" applyFont="1" applyAlignment="1">
      <alignment vertical="center" wrapText="1"/>
    </xf>
    <xf numFmtId="0" fontId="31" fillId="0" borderId="0" xfId="0" applyFont="1" applyAlignment="1">
      <alignment wrapText="1"/>
    </xf>
    <xf numFmtId="0" fontId="31" fillId="0" borderId="0" xfId="0" applyFont="1"/>
    <xf numFmtId="0" fontId="7" fillId="0" borderId="0" xfId="4"/>
    <xf numFmtId="0" fontId="41" fillId="0" borderId="0" xfId="0" applyFont="1" applyAlignment="1">
      <alignment wrapText="1"/>
    </xf>
    <xf numFmtId="0" fontId="41" fillId="0" borderId="0" xfId="0" applyFont="1"/>
    <xf numFmtId="0" fontId="41" fillId="0" borderId="23" xfId="0" applyFont="1" applyBorder="1" applyAlignment="1">
      <alignment wrapText="1"/>
    </xf>
    <xf numFmtId="0" fontId="41" fillId="11" borderId="0" xfId="0" applyFont="1" applyFill="1" applyAlignment="1">
      <alignment wrapText="1"/>
    </xf>
    <xf numFmtId="0" fontId="41" fillId="5" borderId="0" xfId="0" applyFont="1" applyFill="1" applyAlignment="1">
      <alignment wrapText="1"/>
    </xf>
    <xf numFmtId="166" fontId="41" fillId="0" borderId="0" xfId="0" applyNumberFormat="1" applyFont="1" applyAlignment="1">
      <alignment wrapText="1"/>
    </xf>
    <xf numFmtId="0" fontId="4" fillId="2" borderId="10" xfId="0" applyFont="1" applyFill="1" applyBorder="1" applyAlignment="1">
      <alignment vertical="center" wrapText="1"/>
    </xf>
    <xf numFmtId="0" fontId="20" fillId="0" borderId="1" xfId="2" applyFont="1" applyBorder="1" applyAlignment="1">
      <alignment wrapText="1"/>
    </xf>
    <xf numFmtId="0" fontId="15" fillId="3" borderId="12" xfId="8" applyFont="1" applyFill="1" applyBorder="1" applyAlignment="1">
      <alignment wrapText="1"/>
    </xf>
    <xf numFmtId="1" fontId="15" fillId="0" borderId="1" xfId="8" applyNumberFormat="1" applyFont="1" applyBorder="1"/>
    <xf numFmtId="164" fontId="15" fillId="0" borderId="1" xfId="23" applyNumberFormat="1" applyFont="1" applyBorder="1" applyAlignment="1"/>
    <xf numFmtId="0" fontId="42" fillId="0" borderId="0" xfId="0" applyFont="1" applyAlignment="1">
      <alignment vertical="center"/>
    </xf>
    <xf numFmtId="0" fontId="19" fillId="3" borderId="0" xfId="19" applyFont="1" applyFill="1" applyAlignment="1">
      <alignment vertical="center"/>
    </xf>
    <xf numFmtId="1" fontId="15" fillId="0" borderId="1" xfId="8" applyNumberFormat="1" applyFont="1" applyBorder="1" applyAlignment="1">
      <alignment horizontal="left" vertical="center"/>
    </xf>
    <xf numFmtId="2" fontId="8" fillId="0" borderId="0" xfId="0" applyNumberFormat="1" applyFont="1" applyAlignment="1">
      <alignment horizontal="center"/>
    </xf>
    <xf numFmtId="2" fontId="8" fillId="0" borderId="0" xfId="23" applyNumberFormat="1" applyFont="1" applyFill="1" applyBorder="1"/>
    <xf numFmtId="2" fontId="8" fillId="0" borderId="0" xfId="0" applyNumberFormat="1" applyFont="1" applyAlignment="1">
      <alignment wrapText="1"/>
    </xf>
    <xf numFmtId="166" fontId="8" fillId="0" borderId="0" xfId="0" applyNumberFormat="1" applyFont="1"/>
    <xf numFmtId="2" fontId="2" fillId="0" borderId="0" xfId="0" applyNumberFormat="1" applyFont="1"/>
    <xf numFmtId="0" fontId="38" fillId="0" borderId="1" xfId="2" applyFont="1" applyBorder="1" applyAlignment="1">
      <alignment wrapText="1"/>
    </xf>
    <xf numFmtId="0" fontId="12" fillId="3" borderId="0" xfId="2" applyFont="1" applyFill="1"/>
    <xf numFmtId="0" fontId="1" fillId="3" borderId="0" xfId="0" applyFont="1" applyFill="1"/>
    <xf numFmtId="0" fontId="1" fillId="3" borderId="0" xfId="29" applyFill="1"/>
    <xf numFmtId="0" fontId="21" fillId="3" borderId="21" xfId="30" applyFont="1" applyFill="1" applyBorder="1"/>
    <xf numFmtId="0" fontId="21" fillId="3" borderId="0" xfId="30" applyFont="1" applyFill="1"/>
    <xf numFmtId="0" fontId="3" fillId="3" borderId="0" xfId="29" applyFont="1" applyFill="1"/>
    <xf numFmtId="0" fontId="1" fillId="3" borderId="0" xfId="29" applyFill="1" applyAlignment="1">
      <alignment vertical="top" wrapText="1"/>
    </xf>
    <xf numFmtId="0" fontId="1" fillId="3" borderId="20" xfId="29" applyFill="1" applyBorder="1"/>
    <xf numFmtId="0" fontId="21" fillId="3" borderId="22" xfId="30" applyFont="1" applyFill="1" applyBorder="1"/>
    <xf numFmtId="164" fontId="15" fillId="3" borderId="12" xfId="8" applyNumberFormat="1" applyFont="1" applyFill="1" applyBorder="1" applyAlignment="1">
      <alignment horizontal="right"/>
    </xf>
    <xf numFmtId="44" fontId="15" fillId="3" borderId="12" xfId="24" applyFont="1" applyFill="1" applyBorder="1" applyAlignment="1">
      <alignment horizontal="right"/>
    </xf>
    <xf numFmtId="44" fontId="4" fillId="3" borderId="12" xfId="11" applyFont="1" applyFill="1" applyBorder="1" applyAlignment="1">
      <alignment horizontal="right"/>
    </xf>
    <xf numFmtId="164" fontId="15" fillId="3" borderId="12" xfId="8" applyNumberFormat="1" applyFont="1" applyFill="1" applyBorder="1" applyAlignment="1">
      <alignment horizontal="right" vertical="center"/>
    </xf>
    <xf numFmtId="44" fontId="15" fillId="3" borderId="12" xfId="24" applyFont="1" applyFill="1" applyBorder="1" applyAlignment="1">
      <alignment horizontal="right" vertical="center"/>
    </xf>
    <xf numFmtId="44" fontId="4" fillId="3" borderId="12" xfId="24" applyFont="1" applyFill="1" applyBorder="1" applyAlignment="1">
      <alignment horizontal="right" vertical="center"/>
    </xf>
    <xf numFmtId="164" fontId="15" fillId="0" borderId="12" xfId="23" applyNumberFormat="1" applyFont="1" applyBorder="1" applyAlignment="1">
      <alignment horizontal="right" vertical="center"/>
    </xf>
    <xf numFmtId="0" fontId="44" fillId="0" borderId="0" xfId="0" applyFont="1"/>
    <xf numFmtId="0" fontId="43" fillId="3" borderId="0" xfId="0" applyFont="1" applyFill="1" applyAlignment="1">
      <alignment vertical="center"/>
    </xf>
    <xf numFmtId="44" fontId="15" fillId="0" borderId="1" xfId="24" applyFont="1" applyBorder="1" applyAlignment="1">
      <alignment horizontal="right" vertical="center"/>
    </xf>
    <xf numFmtId="44" fontId="15" fillId="0" borderId="12" xfId="24" applyFont="1" applyBorder="1" applyAlignment="1">
      <alignment horizontal="right" vertical="center"/>
    </xf>
    <xf numFmtId="2" fontId="15" fillId="0" borderId="1" xfId="8" applyNumberFormat="1" applyFont="1" applyBorder="1" applyAlignment="1">
      <alignment horizontal="right" vertical="center"/>
    </xf>
    <xf numFmtId="2" fontId="15" fillId="0" borderId="12" xfId="23" applyNumberFormat="1" applyFont="1" applyBorder="1" applyAlignment="1">
      <alignment horizontal="right" vertical="center"/>
    </xf>
    <xf numFmtId="38" fontId="15" fillId="3" borderId="1" xfId="0" applyNumberFormat="1" applyFont="1" applyFill="1" applyBorder="1"/>
    <xf numFmtId="44" fontId="15" fillId="3" borderId="1" xfId="6" applyFont="1" applyFill="1" applyBorder="1"/>
    <xf numFmtId="44" fontId="15" fillId="3" borderId="1" xfId="24" applyFont="1" applyFill="1" applyBorder="1"/>
    <xf numFmtId="40" fontId="15" fillId="3" borderId="1" xfId="0" applyNumberFormat="1" applyFont="1" applyFill="1" applyBorder="1"/>
    <xf numFmtId="0" fontId="0" fillId="0" borderId="0" xfId="0" applyBorder="1"/>
    <xf numFmtId="2" fontId="8" fillId="0" borderId="0" xfId="0" applyNumberFormat="1" applyFont="1" applyBorder="1"/>
    <xf numFmtId="0" fontId="8" fillId="0" borderId="0" xfId="0" applyFont="1" applyBorder="1"/>
    <xf numFmtId="0" fontId="8" fillId="0" borderId="0" xfId="0" applyFont="1" applyFill="1" applyBorder="1"/>
    <xf numFmtId="0" fontId="0" fillId="3" borderId="0" xfId="0" applyFill="1" applyBorder="1" applyAlignment="1">
      <alignment horizontal="center" vertical="center" wrapText="1"/>
    </xf>
    <xf numFmtId="0" fontId="0" fillId="3" borderId="0" xfId="0" applyFill="1" applyBorder="1"/>
    <xf numFmtId="0" fontId="0" fillId="3" borderId="0" xfId="0" applyFill="1" applyBorder="1" applyAlignment="1">
      <alignment horizontal="center" vertical="center"/>
    </xf>
    <xf numFmtId="0" fontId="8" fillId="0" borderId="0" xfId="0" applyFont="1" applyBorder="1" applyAlignment="1">
      <alignment wrapText="1"/>
    </xf>
    <xf numFmtId="0" fontId="8" fillId="0" borderId="0" xfId="0" applyFont="1" applyFill="1" applyBorder="1" applyAlignment="1">
      <alignment horizontal="center" wrapText="1"/>
    </xf>
    <xf numFmtId="2" fontId="8" fillId="0" borderId="0" xfId="0" applyNumberFormat="1" applyFont="1" applyFill="1" applyBorder="1"/>
    <xf numFmtId="0" fontId="2" fillId="0" borderId="0" xfId="0" applyFont="1" applyBorder="1"/>
    <xf numFmtId="0" fontId="44" fillId="0" borderId="0" xfId="0" applyFont="1" applyBorder="1"/>
    <xf numFmtId="0" fontId="3" fillId="3" borderId="0" xfId="0" applyFont="1" applyFill="1" applyBorder="1"/>
    <xf numFmtId="2" fontId="8" fillId="0" borderId="0" xfId="0" applyNumberFormat="1" applyFont="1" applyFill="1"/>
    <xf numFmtId="166" fontId="8" fillId="0" borderId="0" xfId="0" applyNumberFormat="1" applyFont="1" applyFill="1" applyBorder="1"/>
    <xf numFmtId="37" fontId="8" fillId="0" borderId="0" xfId="0" applyNumberFormat="1" applyFont="1" applyBorder="1"/>
    <xf numFmtId="2" fontId="8" fillId="0" borderId="0" xfId="0" applyNumberFormat="1" applyFont="1" applyBorder="1" applyAlignment="1">
      <alignment wrapText="1"/>
    </xf>
    <xf numFmtId="166" fontId="8" fillId="0" borderId="0" xfId="0" applyNumberFormat="1" applyFont="1" applyBorder="1" applyAlignment="1">
      <alignment wrapText="1"/>
    </xf>
    <xf numFmtId="166" fontId="8" fillId="0" borderId="0" xfId="0" applyNumberFormat="1" applyFont="1" applyFill="1" applyBorder="1" applyAlignment="1">
      <alignment wrapText="1"/>
    </xf>
    <xf numFmtId="166" fontId="8" fillId="0" borderId="0" xfId="0" applyNumberFormat="1" applyFont="1" applyBorder="1"/>
    <xf numFmtId="0" fontId="0" fillId="0" borderId="0" xfId="0" applyFont="1"/>
    <xf numFmtId="0" fontId="8" fillId="0" borderId="0" xfId="0" applyFont="1" applyBorder="1" applyAlignment="1">
      <alignment vertical="center"/>
    </xf>
    <xf numFmtId="0" fontId="0" fillId="0" borderId="0" xfId="0" applyFont="1" applyBorder="1"/>
    <xf numFmtId="0" fontId="10" fillId="0" borderId="0" xfId="0" applyFont="1" applyFill="1" applyBorder="1" applyAlignment="1">
      <alignment wrapText="1"/>
    </xf>
    <xf numFmtId="0" fontId="40" fillId="0" borderId="0" xfId="0" applyFont="1"/>
    <xf numFmtId="0" fontId="9" fillId="3" borderId="6" xfId="0" applyFont="1" applyFill="1" applyBorder="1" applyAlignment="1">
      <alignment horizontal="left" wrapText="1"/>
    </xf>
    <xf numFmtId="0" fontId="9" fillId="3" borderId="0" xfId="0" applyFont="1" applyFill="1" applyAlignment="1">
      <alignment horizontal="left" wrapText="1"/>
    </xf>
    <xf numFmtId="0" fontId="9" fillId="3" borderId="7" xfId="0" applyFont="1" applyFill="1" applyBorder="1" applyAlignment="1">
      <alignment horizontal="left" wrapText="1"/>
    </xf>
    <xf numFmtId="0" fontId="22" fillId="3" borderId="8" xfId="0" applyFont="1" applyFill="1" applyBorder="1" applyAlignment="1">
      <alignment horizontal="left" wrapText="1"/>
    </xf>
    <xf numFmtId="0" fontId="22" fillId="3" borderId="9" xfId="0" applyFont="1" applyFill="1" applyBorder="1" applyAlignment="1">
      <alignment horizontal="left" wrapText="1"/>
    </xf>
    <xf numFmtId="0" fontId="22" fillId="3" borderId="17" xfId="0" applyFont="1" applyFill="1" applyBorder="1" applyAlignment="1">
      <alignment horizontal="left" wrapText="1"/>
    </xf>
    <xf numFmtId="0" fontId="26" fillId="9" borderId="4" xfId="27" applyFont="1" applyFill="1" applyBorder="1" applyAlignment="1">
      <alignment horizontal="center" wrapText="1"/>
    </xf>
    <xf numFmtId="0" fontId="27" fillId="9" borderId="16" xfId="27" applyFont="1" applyFill="1" applyBorder="1" applyAlignment="1">
      <alignment horizontal="center" wrapText="1"/>
    </xf>
    <xf numFmtId="0" fontId="27" fillId="9" borderId="5" xfId="27" applyFont="1" applyFill="1" applyBorder="1" applyAlignment="1">
      <alignment horizontal="center" wrapText="1"/>
    </xf>
    <xf numFmtId="0" fontId="27" fillId="9" borderId="6" xfId="27" applyFont="1" applyFill="1" applyBorder="1" applyAlignment="1">
      <alignment horizontal="center" wrapText="1"/>
    </xf>
    <xf numFmtId="0" fontId="27" fillId="9" borderId="0" xfId="27" applyFont="1" applyFill="1" applyAlignment="1">
      <alignment horizontal="center" wrapText="1"/>
    </xf>
    <xf numFmtId="0" fontId="27" fillId="9" borderId="7" xfId="27" applyFont="1" applyFill="1" applyBorder="1" applyAlignment="1">
      <alignment horizontal="center" wrapText="1"/>
    </xf>
    <xf numFmtId="0" fontId="9" fillId="0" borderId="6" xfId="0" applyFont="1" applyBorder="1" applyAlignment="1">
      <alignment horizontal="left" wrapText="1"/>
    </xf>
    <xf numFmtId="0" fontId="9" fillId="0" borderId="0" xfId="0" applyFont="1" applyAlignment="1">
      <alignment horizontal="left" wrapText="1"/>
    </xf>
    <xf numFmtId="0" fontId="9" fillId="0" borderId="7" xfId="0" applyFont="1" applyBorder="1" applyAlignment="1">
      <alignment horizontal="left" wrapText="1"/>
    </xf>
    <xf numFmtId="0" fontId="0" fillId="3" borderId="6" xfId="0" applyFill="1" applyBorder="1" applyAlignment="1">
      <alignment horizontal="left" wrapText="1"/>
    </xf>
    <xf numFmtId="0" fontId="0" fillId="3" borderId="0" xfId="0" applyFill="1" applyAlignment="1">
      <alignment horizontal="left" wrapText="1"/>
    </xf>
    <xf numFmtId="0" fontId="0" fillId="3" borderId="7" xfId="0" applyFill="1" applyBorder="1" applyAlignment="1">
      <alignment horizontal="left" wrapText="1"/>
    </xf>
    <xf numFmtId="0" fontId="20" fillId="0" borderId="3" xfId="2" applyFont="1" applyBorder="1" applyAlignment="1">
      <alignment horizontal="center" vertical="center"/>
    </xf>
    <xf numFmtId="0" fontId="20" fillId="0" borderId="18" xfId="2" applyFont="1" applyBorder="1" applyAlignment="1">
      <alignment horizontal="center" vertical="center"/>
    </xf>
    <xf numFmtId="0" fontId="20" fillId="0" borderId="12" xfId="2" applyFont="1" applyBorder="1" applyAlignment="1">
      <alignment horizontal="center" vertical="center"/>
    </xf>
    <xf numFmtId="166" fontId="20" fillId="0" borderId="3" xfId="2" applyNumberFormat="1" applyFont="1" applyBorder="1" applyAlignment="1">
      <alignment horizontal="center" vertical="center"/>
    </xf>
    <xf numFmtId="166" fontId="20" fillId="0" borderId="12" xfId="2" applyNumberFormat="1" applyFont="1" applyBorder="1" applyAlignment="1">
      <alignment horizontal="center" vertical="center"/>
    </xf>
    <xf numFmtId="0" fontId="4" fillId="3" borderId="13" xfId="0" applyFont="1" applyFill="1" applyBorder="1" applyAlignment="1">
      <alignment horizontal="left" vertical="top" wrapText="1"/>
    </xf>
    <xf numFmtId="0" fontId="4" fillId="3" borderId="0" xfId="0" applyFont="1" applyFill="1" applyAlignment="1">
      <alignment horizontal="left" vertical="top" wrapText="1"/>
    </xf>
    <xf numFmtId="38" fontId="11" fillId="3" borderId="13" xfId="0" applyNumberFormat="1" applyFont="1" applyFill="1" applyBorder="1" applyAlignment="1">
      <alignment horizontal="left" vertical="top" wrapText="1"/>
    </xf>
    <xf numFmtId="38" fontId="11" fillId="3" borderId="0" xfId="0" applyNumberFormat="1" applyFont="1" applyFill="1" applyAlignment="1">
      <alignment horizontal="left" vertical="top" wrapText="1"/>
    </xf>
    <xf numFmtId="0" fontId="19" fillId="4" borderId="1" xfId="0" applyFont="1" applyFill="1" applyBorder="1" applyAlignment="1">
      <alignment horizontal="center" vertical="center"/>
    </xf>
    <xf numFmtId="0" fontId="15" fillId="3" borderId="13" xfId="8" applyFont="1" applyFill="1" applyBorder="1" applyAlignment="1">
      <alignment vertical="center" wrapText="1"/>
    </xf>
    <xf numFmtId="0" fontId="15" fillId="3" borderId="0" xfId="8" applyFont="1" applyFill="1" applyAlignment="1">
      <alignment vertical="center" wrapText="1"/>
    </xf>
    <xf numFmtId="0" fontId="19" fillId="4" borderId="10" xfId="0" applyFont="1" applyFill="1" applyBorder="1" applyAlignment="1">
      <alignment horizontal="center" vertical="center"/>
    </xf>
    <xf numFmtId="0" fontId="19" fillId="4" borderId="2" xfId="0" applyFont="1" applyFill="1" applyBorder="1" applyAlignment="1">
      <alignment horizontal="center" vertical="center"/>
    </xf>
    <xf numFmtId="0" fontId="19" fillId="4" borderId="11" xfId="0" applyFont="1" applyFill="1" applyBorder="1" applyAlignment="1">
      <alignment horizontal="center" vertical="center"/>
    </xf>
    <xf numFmtId="0" fontId="28" fillId="3" borderId="0" xfId="29" applyFont="1" applyFill="1" applyAlignment="1">
      <alignment horizontal="left" vertical="top" wrapText="1"/>
    </xf>
    <xf numFmtId="0" fontId="15" fillId="2" borderId="18" xfId="8" applyFont="1" applyFill="1" applyBorder="1" applyAlignment="1">
      <alignment horizontal="center" vertical="center" wrapText="1"/>
    </xf>
    <xf numFmtId="0" fontId="15" fillId="2" borderId="12" xfId="8" applyFont="1" applyFill="1" applyBorder="1" applyAlignment="1">
      <alignment horizontal="center" vertical="center" wrapText="1"/>
    </xf>
    <xf numFmtId="165" fontId="15" fillId="3" borderId="3" xfId="8" applyNumberFormat="1" applyFont="1" applyFill="1" applyBorder="1" applyAlignment="1">
      <alignment horizontal="center" vertical="center"/>
    </xf>
    <xf numFmtId="165" fontId="15" fillId="3" borderId="12" xfId="8" applyNumberFormat="1" applyFont="1" applyFill="1" applyBorder="1" applyAlignment="1">
      <alignment horizontal="center" vertical="center"/>
    </xf>
    <xf numFmtId="0" fontId="40" fillId="3" borderId="0" xfId="0" applyFont="1" applyFill="1" applyAlignment="1">
      <alignment horizontal="center"/>
    </xf>
    <xf numFmtId="0" fontId="9" fillId="3" borderId="0" xfId="0" applyFont="1" applyFill="1" applyAlignment="1">
      <alignment horizontal="left" vertical="top" wrapText="1"/>
    </xf>
    <xf numFmtId="0" fontId="30" fillId="0" borderId="0" xfId="0" applyFont="1" applyAlignment="1">
      <alignment horizontal="center"/>
    </xf>
    <xf numFmtId="0" fontId="29" fillId="0" borderId="10" xfId="0" applyFont="1" applyBorder="1" applyAlignment="1">
      <alignment horizontal="center" vertical="center"/>
    </xf>
    <xf numFmtId="0" fontId="29" fillId="0" borderId="2" xfId="0" applyFont="1" applyBorder="1" applyAlignment="1">
      <alignment horizontal="center" vertical="center"/>
    </xf>
    <xf numFmtId="0" fontId="29" fillId="0" borderId="11" xfId="0" applyFont="1" applyBorder="1" applyAlignment="1">
      <alignment horizontal="center" vertical="center"/>
    </xf>
    <xf numFmtId="0" fontId="22" fillId="3" borderId="10" xfId="0" applyFont="1" applyFill="1" applyBorder="1" applyAlignment="1">
      <alignment horizontal="left"/>
    </xf>
    <xf numFmtId="0" fontId="22" fillId="3" borderId="2" xfId="0" applyFont="1" applyFill="1" applyBorder="1" applyAlignment="1">
      <alignment horizontal="left"/>
    </xf>
    <xf numFmtId="0" fontId="22" fillId="3" borderId="11" xfId="0" applyFont="1" applyFill="1" applyBorder="1" applyAlignment="1">
      <alignment horizontal="left"/>
    </xf>
    <xf numFmtId="0" fontId="3" fillId="0" borderId="0" xfId="0" applyFont="1" applyAlignment="1">
      <alignment horizontal="center"/>
    </xf>
    <xf numFmtId="0" fontId="3" fillId="0" borderId="10" xfId="0" applyFont="1" applyBorder="1" applyAlignment="1">
      <alignment horizontal="center" vertical="center"/>
    </xf>
    <xf numFmtId="0" fontId="3" fillId="0" borderId="2" xfId="0" applyFont="1" applyBorder="1" applyAlignment="1">
      <alignment horizontal="center" vertical="center"/>
    </xf>
    <xf numFmtId="0" fontId="3" fillId="0" borderId="11" xfId="0" applyFont="1" applyBorder="1" applyAlignment="1">
      <alignment horizontal="center" vertical="center"/>
    </xf>
  </cellXfs>
  <cellStyles count="32">
    <cellStyle name="Comma" xfId="23" builtinId="3"/>
    <cellStyle name="Comma 2" xfId="10" xr:uid="{00000000-0005-0000-0000-000001000000}"/>
    <cellStyle name="Comma 2 2" xfId="31" xr:uid="{A90F9733-C1CF-48BE-BE78-4AC903F3A422}"/>
    <cellStyle name="Comma 3" xfId="5" xr:uid="{00000000-0005-0000-0000-000002000000}"/>
    <cellStyle name="Comma 4" xfId="15" xr:uid="{00000000-0005-0000-0000-000003000000}"/>
    <cellStyle name="Comma 5" xfId="28" xr:uid="{8B8055CC-A266-46A6-A2C5-A06181190AB1}"/>
    <cellStyle name="Currency" xfId="24" builtinId="4"/>
    <cellStyle name="Currency 2" xfId="11" xr:uid="{00000000-0005-0000-0000-000005000000}"/>
    <cellStyle name="Currency 3" xfId="6" xr:uid="{00000000-0005-0000-0000-000006000000}"/>
    <cellStyle name="Currency 6" xfId="14" xr:uid="{00000000-0005-0000-0000-000007000000}"/>
    <cellStyle name="Hyperlink" xfId="4" builtinId="8"/>
    <cellStyle name="Normal" xfId="0" builtinId="0"/>
    <cellStyle name="Normal 12" xfId="22" xr:uid="{00000000-0005-0000-0000-00000A000000}"/>
    <cellStyle name="Normal 2" xfId="8" xr:uid="{00000000-0005-0000-0000-00000B000000}"/>
    <cellStyle name="Normal 2 2" xfId="30" xr:uid="{4440874C-1D7B-449F-901B-63CA28F5E535}"/>
    <cellStyle name="Normal 2 2 3" xfId="16" xr:uid="{00000000-0005-0000-0000-00000C000000}"/>
    <cellStyle name="Normal 2 4" xfId="29" xr:uid="{62119F08-3CDD-4555-A0D7-A304032D7A4E}"/>
    <cellStyle name="Normal 3" xfId="12" xr:uid="{00000000-0005-0000-0000-00000D000000}"/>
    <cellStyle name="Normal 3 2" xfId="27" xr:uid="{B70CD228-8C43-4E3A-9C19-CF5F3FD445C8}"/>
    <cellStyle name="Normal 4" xfId="7" xr:uid="{00000000-0005-0000-0000-00000E000000}"/>
    <cellStyle name="Normal 4 2" xfId="20" xr:uid="{00000000-0005-0000-0000-00000F000000}"/>
    <cellStyle name="Normal 5" xfId="13" xr:uid="{00000000-0005-0000-0000-000010000000}"/>
    <cellStyle name="Normal 6" xfId="17" xr:uid="{00000000-0005-0000-0000-000011000000}"/>
    <cellStyle name="Normal 7" xfId="2" xr:uid="{00000000-0005-0000-0000-000012000000}"/>
    <cellStyle name="Normal 8" xfId="19" xr:uid="{00000000-0005-0000-0000-000013000000}"/>
    <cellStyle name="Percent" xfId="1" builtinId="5"/>
    <cellStyle name="Percent 2" xfId="9" xr:uid="{00000000-0005-0000-0000-000016000000}"/>
    <cellStyle name="Percent 2 2" xfId="26" xr:uid="{00000000-0005-0000-0000-000017000000}"/>
    <cellStyle name="Percent 3" xfId="3" xr:uid="{00000000-0005-0000-0000-000018000000}"/>
    <cellStyle name="Percent 4" xfId="21" xr:uid="{00000000-0005-0000-0000-000019000000}"/>
    <cellStyle name="Percent 5" xfId="18" xr:uid="{00000000-0005-0000-0000-00001A000000}"/>
    <cellStyle name="Percent 6" xfId="25" xr:uid="{00000000-0005-0000-0000-00001B000000}"/>
  </cellStyles>
  <dxfs count="3">
    <dxf>
      <fill>
        <patternFill>
          <bgColor theme="9" tint="0.79998168889431442"/>
        </patternFill>
      </fill>
    </dxf>
    <dxf>
      <fill>
        <patternFill>
          <bgColor theme="9" tint="0.79998168889431442"/>
        </patternFill>
      </fill>
    </dxf>
    <dxf>
      <font>
        <color rgb="FF006100"/>
      </font>
      <fill>
        <patternFill>
          <bgColor rgb="FFC6EFCE"/>
        </patternFill>
      </fill>
    </dxf>
  </dxfs>
  <tableStyles count="0" defaultTableStyle="TableStyleMedium2" defaultPivotStyle="PivotStyleLight16"/>
  <colors>
    <mruColors>
      <color rgb="FF25C6FF"/>
      <color rgb="FFF02E24"/>
      <color rgb="FF1947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 Id="rId4" Type="http://schemas.openxmlformats.org/officeDocument/2006/relationships/chartUserShapes" Target="../drawings/drawing9.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2000"/>
              <a:t>Convection Efficiency </a:t>
            </a:r>
          </a:p>
        </c:rich>
      </c:tx>
      <c:layout>
        <c:manualLayout>
          <c:xMode val="edge"/>
          <c:yMode val="edge"/>
          <c:x val="0.36232720909886262"/>
          <c:y val="6.5933386233697523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5739916568399965E-2"/>
          <c:y val="7.160642129036196E-2"/>
          <c:w val="0.85954383754119001"/>
          <c:h val="0.77914880271370923"/>
        </c:manualLayout>
      </c:layout>
      <c:scatterChart>
        <c:scatterStyle val="lineMarker"/>
        <c:varyColors val="0"/>
        <c:ser>
          <c:idx val="3"/>
          <c:order val="0"/>
          <c:tx>
            <c:v>Proposed Min</c:v>
          </c:tx>
          <c:spPr>
            <a:ln w="19050" cap="rnd">
              <a:solidFill>
                <a:schemeClr val="accent4"/>
              </a:solidFill>
              <a:round/>
            </a:ln>
            <a:effectLst/>
          </c:spPr>
          <c:marker>
            <c:symbol val="none"/>
          </c:marker>
          <c:xVal>
            <c:numRef>
              <c:f>#REF!</c:f>
            </c:numRef>
          </c:xVal>
          <c:yVal>
            <c:numRef>
              <c:f>#REF!</c:f>
              <c:numCache>
                <c:formatCode>General</c:formatCode>
                <c:ptCount val="1"/>
                <c:pt idx="0">
                  <c:v>1</c:v>
                </c:pt>
              </c:numCache>
            </c:numRef>
          </c:yVal>
          <c:smooth val="0"/>
          <c:extLst>
            <c:ext xmlns:c16="http://schemas.microsoft.com/office/drawing/2014/chart" uri="{C3380CC4-5D6E-409C-BE32-E72D297353CC}">
              <c16:uniqueId val="{00000000-17D2-4878-A936-D1DE3F5C6226}"/>
            </c:ext>
          </c:extLst>
        </c:ser>
        <c:ser>
          <c:idx val="0"/>
          <c:order val="1"/>
          <c:tx>
            <c:v>Ovens that pass 4 metrics</c:v>
          </c:tx>
          <c:spPr>
            <a:ln w="19050" cap="rnd">
              <a:noFill/>
              <a:round/>
            </a:ln>
            <a:effectLst/>
          </c:spPr>
          <c:marker>
            <c:symbol val="square"/>
            <c:size val="10"/>
            <c:spPr>
              <a:solidFill>
                <a:srgbClr val="1947EF"/>
              </a:solidFill>
              <a:ln w="9525">
                <a:solidFill>
                  <a:sysClr val="windowText" lastClr="000000"/>
                </a:solidFill>
              </a:ln>
              <a:effectLst/>
            </c:spPr>
          </c:marker>
          <c:xVal>
            <c:numRef>
              <c:f>'5. Oven Data'!$K$259:$K$264</c:f>
              <c:numCache>
                <c:formatCode>0.00</c:formatCode>
                <c:ptCount val="6"/>
                <c:pt idx="0">
                  <c:v>4</c:v>
                </c:pt>
                <c:pt idx="1">
                  <c:v>4</c:v>
                </c:pt>
                <c:pt idx="2">
                  <c:v>4</c:v>
                </c:pt>
                <c:pt idx="3" formatCode="#,##0_);\(#,##0\)">
                  <c:v>3</c:v>
                </c:pt>
                <c:pt idx="4">
                  <c:v>5</c:v>
                </c:pt>
                <c:pt idx="5">
                  <c:v>3</c:v>
                </c:pt>
              </c:numCache>
            </c:numRef>
          </c:xVal>
          <c:yVal>
            <c:numRef>
              <c:f>'5. Oven Data'!$J$259:$J$264</c:f>
              <c:numCache>
                <c:formatCode>0.00</c:formatCode>
                <c:ptCount val="6"/>
                <c:pt idx="0">
                  <c:v>73.400000000000006</c:v>
                </c:pt>
                <c:pt idx="1">
                  <c:v>81</c:v>
                </c:pt>
                <c:pt idx="2">
                  <c:v>75</c:v>
                </c:pt>
                <c:pt idx="3">
                  <c:v>70</c:v>
                </c:pt>
                <c:pt idx="4">
                  <c:v>70.899999999999991</c:v>
                </c:pt>
                <c:pt idx="5">
                  <c:v>73.7</c:v>
                </c:pt>
              </c:numCache>
            </c:numRef>
          </c:yVal>
          <c:smooth val="0"/>
          <c:extLst>
            <c:ext xmlns:c16="http://schemas.microsoft.com/office/drawing/2014/chart" uri="{C3380CC4-5D6E-409C-BE32-E72D297353CC}">
              <c16:uniqueId val="{00000001-17D2-4878-A936-D1DE3F5C6226}"/>
            </c:ext>
          </c:extLst>
        </c:ser>
        <c:ser>
          <c:idx val="1"/>
          <c:order val="2"/>
          <c:tx>
            <c:v>Failing Ovens</c:v>
          </c:tx>
          <c:spPr>
            <a:ln w="19050" cap="rnd">
              <a:noFill/>
              <a:round/>
            </a:ln>
            <a:effectLst/>
          </c:spPr>
          <c:marker>
            <c:symbol val="circle"/>
            <c:size val="10"/>
            <c:spPr>
              <a:solidFill>
                <a:srgbClr val="FF0000"/>
              </a:solidFill>
              <a:ln w="9525">
                <a:solidFill>
                  <a:sysClr val="windowText" lastClr="000000"/>
                </a:solidFill>
              </a:ln>
              <a:effectLst/>
            </c:spPr>
          </c:marker>
          <c:dPt>
            <c:idx val="4"/>
            <c:marker>
              <c:symbol val="circle"/>
              <c:size val="12"/>
              <c:spPr>
                <a:solidFill>
                  <a:srgbClr val="FF0000"/>
                </a:solidFill>
                <a:ln w="9525">
                  <a:solidFill>
                    <a:sysClr val="windowText" lastClr="000000"/>
                  </a:solidFill>
                </a:ln>
                <a:effectLst/>
              </c:spPr>
            </c:marker>
            <c:bubble3D val="0"/>
            <c:extLst>
              <c:ext xmlns:c16="http://schemas.microsoft.com/office/drawing/2014/chart" uri="{C3380CC4-5D6E-409C-BE32-E72D297353CC}">
                <c16:uniqueId val="{00000002-17D2-4878-A936-D1DE3F5C6226}"/>
              </c:ext>
            </c:extLst>
          </c:dPt>
          <c:dPt>
            <c:idx val="5"/>
            <c:marker>
              <c:symbol val="circle"/>
              <c:size val="14"/>
              <c:spPr>
                <a:solidFill>
                  <a:srgbClr val="FF0000"/>
                </a:solidFill>
                <a:ln w="9525">
                  <a:solidFill>
                    <a:sysClr val="windowText" lastClr="000000"/>
                  </a:solidFill>
                </a:ln>
                <a:effectLst/>
              </c:spPr>
            </c:marker>
            <c:bubble3D val="0"/>
            <c:extLst>
              <c:ext xmlns:c16="http://schemas.microsoft.com/office/drawing/2014/chart" uri="{C3380CC4-5D6E-409C-BE32-E72D297353CC}">
                <c16:uniqueId val="{00000003-17D2-4878-A936-D1DE3F5C6226}"/>
              </c:ext>
            </c:extLst>
          </c:dPt>
          <c:xVal>
            <c:numRef>
              <c:f>'5. Oven Data'!$K$265:$K$275</c:f>
              <c:numCache>
                <c:formatCode>0.00</c:formatCode>
                <c:ptCount val="11"/>
                <c:pt idx="0">
                  <c:v>4</c:v>
                </c:pt>
                <c:pt idx="1">
                  <c:v>3</c:v>
                </c:pt>
                <c:pt idx="2">
                  <c:v>4</c:v>
                </c:pt>
                <c:pt idx="3">
                  <c:v>4</c:v>
                </c:pt>
                <c:pt idx="4">
                  <c:v>4</c:v>
                </c:pt>
                <c:pt idx="5">
                  <c:v>4</c:v>
                </c:pt>
                <c:pt idx="6">
                  <c:v>4</c:v>
                </c:pt>
                <c:pt idx="7">
                  <c:v>4</c:v>
                </c:pt>
                <c:pt idx="8">
                  <c:v>4</c:v>
                </c:pt>
                <c:pt idx="9">
                  <c:v>4</c:v>
                </c:pt>
                <c:pt idx="10">
                  <c:v>4</c:v>
                </c:pt>
              </c:numCache>
            </c:numRef>
          </c:xVal>
          <c:yVal>
            <c:numRef>
              <c:f>'5. Oven Data'!$J$265:$J$275</c:f>
              <c:numCache>
                <c:formatCode>0.00</c:formatCode>
                <c:ptCount val="11"/>
                <c:pt idx="0">
                  <c:v>72.2</c:v>
                </c:pt>
                <c:pt idx="4">
                  <c:v>60</c:v>
                </c:pt>
                <c:pt idx="5">
                  <c:v>64.066666666666663</c:v>
                </c:pt>
                <c:pt idx="6">
                  <c:v>64.066666666666663</c:v>
                </c:pt>
                <c:pt idx="7">
                  <c:v>64.066666666666663</c:v>
                </c:pt>
                <c:pt idx="8">
                  <c:v>64.066666666666663</c:v>
                </c:pt>
                <c:pt idx="10">
                  <c:v>60</c:v>
                </c:pt>
              </c:numCache>
            </c:numRef>
          </c:yVal>
          <c:smooth val="0"/>
          <c:extLst>
            <c:ext xmlns:c16="http://schemas.microsoft.com/office/drawing/2014/chart" uri="{C3380CC4-5D6E-409C-BE32-E72D297353CC}">
              <c16:uniqueId val="{00000004-17D2-4878-A936-D1DE3F5C6226}"/>
            </c:ext>
          </c:extLst>
        </c:ser>
        <c:dLbls>
          <c:showLegendKey val="0"/>
          <c:showVal val="0"/>
          <c:showCatName val="0"/>
          <c:showSerName val="0"/>
          <c:showPercent val="0"/>
          <c:showBubbleSize val="0"/>
        </c:dLbls>
        <c:axId val="140832911"/>
        <c:axId val="1873796223"/>
      </c:scatterChart>
      <c:valAx>
        <c:axId val="140832911"/>
        <c:scaling>
          <c:orientation val="minMax"/>
          <c:max val="6"/>
          <c:min val="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t>Pan Capacity</a:t>
                </a:r>
              </a:p>
            </c:rich>
          </c:tx>
          <c:layout>
            <c:manualLayout>
              <c:xMode val="edge"/>
              <c:yMode val="edge"/>
              <c:x val="0.46018431971908375"/>
              <c:y val="0.9017771673826171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873796223"/>
        <c:crosses val="autoZero"/>
        <c:crossBetween val="midCat"/>
        <c:majorUnit val="1"/>
      </c:valAx>
      <c:valAx>
        <c:axId val="1873796223"/>
        <c:scaling>
          <c:orientation val="minMax"/>
          <c:max val="85"/>
          <c:min val="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400" b="1"/>
                  <a:t>Convection Efficiency,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crossAx val="140832911"/>
        <c:crosses val="autoZero"/>
        <c:crossBetween val="midCat"/>
        <c:majorUnit val="5"/>
      </c:valAx>
      <c:spPr>
        <a:noFill/>
        <a:ln>
          <a:noFill/>
        </a:ln>
        <a:effectLst/>
      </c:spPr>
    </c:plotArea>
    <c:legend>
      <c:legendPos val="b"/>
      <c:layout>
        <c:manualLayout>
          <c:xMode val="edge"/>
          <c:yMode val="edge"/>
          <c:x val="5.0000044392396824E-2"/>
          <c:y val="0.93172985734553371"/>
          <c:w val="0.89999991121520639"/>
          <c:h val="5.9349628996773519E-2"/>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Electric combis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#REF!</c:f>
              <c:strCache>
                <c:ptCount val="1"/>
                <c:pt idx="0">
                  <c:v>#REF!</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#REF!</c:f>
            </c:numRef>
          </c:xVal>
          <c:yVal>
            <c:numRef>
              <c:f>#REF!</c:f>
              <c:numCache>
                <c:formatCode>General</c:formatCode>
                <c:ptCount val="1"/>
                <c:pt idx="0">
                  <c:v>1</c:v>
                </c:pt>
              </c:numCache>
            </c:numRef>
          </c:yVal>
          <c:smooth val="0"/>
          <c:extLst>
            <c:ext xmlns:c16="http://schemas.microsoft.com/office/drawing/2014/chart" uri="{C3380CC4-5D6E-409C-BE32-E72D297353CC}">
              <c16:uniqueId val="{00000000-2615-49D5-8C24-29616FB7D029}"/>
            </c:ext>
          </c:extLst>
        </c:ser>
        <c:ser>
          <c:idx val="1"/>
          <c:order val="1"/>
          <c:tx>
            <c:v>electric combis</c:v>
          </c:tx>
          <c:spPr>
            <a:ln w="25400" cap="rnd">
              <a:noFill/>
              <a:round/>
            </a:ln>
            <a:effectLst/>
          </c:spPr>
          <c:marker>
            <c:symbol val="circle"/>
            <c:size val="7"/>
            <c:spPr>
              <a:solidFill>
                <a:schemeClr val="accent2"/>
              </a:solidFill>
              <a:ln w="9525">
                <a:solidFill>
                  <a:sysClr val="windowText" lastClr="000000">
                    <a:lumMod val="75000"/>
                    <a:lumOff val="25000"/>
                  </a:sysClr>
                </a:solidFill>
              </a:ln>
              <a:effectLst/>
            </c:spPr>
          </c:marker>
          <c:xVal>
            <c:numRef>
              <c:f>#REF!</c:f>
            </c:numRef>
          </c:xVal>
          <c:yVal>
            <c:numRef>
              <c:f>#REF!</c:f>
              <c:numCache>
                <c:formatCode>General</c:formatCode>
                <c:ptCount val="1"/>
                <c:pt idx="0">
                  <c:v>1</c:v>
                </c:pt>
              </c:numCache>
            </c:numRef>
          </c:yVal>
          <c:smooth val="0"/>
          <c:extLst>
            <c:ext xmlns:c16="http://schemas.microsoft.com/office/drawing/2014/chart" uri="{C3380CC4-5D6E-409C-BE32-E72D297353CC}">
              <c16:uniqueId val="{00000001-2615-49D5-8C24-29616FB7D029}"/>
            </c:ext>
          </c:extLst>
        </c:ser>
        <c:dLbls>
          <c:showLegendKey val="0"/>
          <c:showVal val="0"/>
          <c:showCatName val="0"/>
          <c:showSerName val="0"/>
          <c:showPercent val="0"/>
          <c:showBubbleSize val="0"/>
        </c:dLbls>
        <c:axId val="2139325775"/>
        <c:axId val="2139326191"/>
      </c:scatterChart>
      <c:valAx>
        <c:axId val="213932577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Steam</a:t>
                </a:r>
                <a:r>
                  <a:rPr lang="en-US" baseline="0"/>
                  <a:t> Pan Capacity</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9326191"/>
        <c:crosses val="autoZero"/>
        <c:crossBetween val="midCat"/>
      </c:valAx>
      <c:valAx>
        <c:axId val="213932619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gallons</a:t>
                </a:r>
                <a:r>
                  <a:rPr lang="en-US" baseline="0"/>
                  <a:t> per hour per pan</a:t>
                </a:r>
                <a:endParaRPr lang="en-US"/>
              </a:p>
            </c:rich>
          </c:tx>
          <c:layout>
            <c:manualLayout>
              <c:xMode val="edge"/>
              <c:yMode val="edge"/>
              <c:x val="8.9285714285714281E-3"/>
              <c:y val="0.421881592631109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9325775"/>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Steam Mode Idle</a:t>
            </a:r>
          </a:p>
        </c:rich>
      </c:tx>
      <c:layout>
        <c:manualLayout>
          <c:xMode val="edge"/>
          <c:yMode val="edge"/>
          <c:x val="0.36608696435847904"/>
          <c:y val="3.803191409717050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278204321889276"/>
          <c:y val="0.12890347874646721"/>
          <c:w val="0.70767348441200961"/>
          <c:h val="0.70392985617942172"/>
        </c:manualLayout>
      </c:layout>
      <c:scatterChart>
        <c:scatterStyle val="lineMarker"/>
        <c:varyColors val="0"/>
        <c:ser>
          <c:idx val="2"/>
          <c:order val="0"/>
          <c:tx>
            <c:v>Potential Idle Max</c:v>
          </c:tx>
          <c:spPr>
            <a:ln w="41275" cap="rnd">
              <a:solidFill>
                <a:srgbClr val="70AD47">
                  <a:lumMod val="60000"/>
                  <a:lumOff val="40000"/>
                </a:srgbClr>
              </a:solidFill>
              <a:round/>
            </a:ln>
            <a:effectLst/>
          </c:spPr>
          <c:marker>
            <c:symbol val="none"/>
          </c:marker>
          <c:trendline>
            <c:spPr>
              <a:ln w="19050" cap="rnd">
                <a:solidFill>
                  <a:schemeClr val="accent3"/>
                </a:solidFill>
                <a:prstDash val="sysDot"/>
              </a:ln>
              <a:effectLst/>
            </c:spPr>
            <c:trendlineType val="linear"/>
            <c:dispRSqr val="0"/>
            <c:dispEq val="1"/>
            <c:trendlineLbl>
              <c:layout>
                <c:manualLayout>
                  <c:x val="-1.4085343440787259E-2"/>
                  <c:y val="-1.1097616950711582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OldGraph_2_3rd_CombiE!$B$27:$B$28</c:f>
              <c:numCache>
                <c:formatCode>General</c:formatCode>
                <c:ptCount val="2"/>
                <c:pt idx="0">
                  <c:v>0</c:v>
                </c:pt>
                <c:pt idx="1">
                  <c:v>6</c:v>
                </c:pt>
              </c:numCache>
            </c:numRef>
          </c:xVal>
          <c:yVal>
            <c:numRef>
              <c:f>OldGraph_2_3rd_CombiE!$C$27:$C$28</c:f>
              <c:numCache>
                <c:formatCode>General</c:formatCode>
                <c:ptCount val="2"/>
                <c:pt idx="0">
                  <c:v>1.2</c:v>
                </c:pt>
                <c:pt idx="1">
                  <c:v>3.2</c:v>
                </c:pt>
              </c:numCache>
            </c:numRef>
          </c:yVal>
          <c:smooth val="0"/>
          <c:extLst>
            <c:ext xmlns:c16="http://schemas.microsoft.com/office/drawing/2014/chart" uri="{C3380CC4-5D6E-409C-BE32-E72D297353CC}">
              <c16:uniqueId val="{00000000-067C-4572-B4B6-7AFAC9A125B4}"/>
            </c:ext>
          </c:extLst>
        </c:ser>
        <c:ser>
          <c:idx val="5"/>
          <c:order val="2"/>
          <c:tx>
            <c:v>Baseline for other Combis</c:v>
          </c:tx>
          <c:spPr>
            <a:ln w="19050" cap="rnd">
              <a:solidFill>
                <a:sysClr val="windowText" lastClr="000000"/>
              </a:solidFill>
              <a:prstDash val="dash"/>
              <a:round/>
            </a:ln>
            <a:effectLst/>
          </c:spPr>
          <c:marker>
            <c:symbol val="circle"/>
            <c:size val="3"/>
            <c:spPr>
              <a:solidFill>
                <a:schemeClr val="tx1"/>
              </a:solidFill>
              <a:ln w="9525">
                <a:noFill/>
              </a:ln>
              <a:effectLst/>
            </c:spPr>
          </c:marker>
          <c:xVal>
            <c:numRef>
              <c:f>OldGraph_2_3rd_CombiE!$A$34:$A$35</c:f>
              <c:numCache>
                <c:formatCode>General</c:formatCode>
                <c:ptCount val="2"/>
                <c:pt idx="0">
                  <c:v>0</c:v>
                </c:pt>
                <c:pt idx="1">
                  <c:v>8</c:v>
                </c:pt>
              </c:numCache>
            </c:numRef>
          </c:xVal>
          <c:yVal>
            <c:numRef>
              <c:f>OldGraph_2_3rd_CombiE!$B$34:$B$35</c:f>
              <c:numCache>
                <c:formatCode>General</c:formatCode>
                <c:ptCount val="2"/>
                <c:pt idx="0">
                  <c:v>0.64</c:v>
                </c:pt>
                <c:pt idx="1">
                  <c:v>1.7040000000000002</c:v>
                </c:pt>
              </c:numCache>
            </c:numRef>
          </c:yVal>
          <c:smooth val="0"/>
          <c:extLst>
            <c:ext xmlns:c16="http://schemas.microsoft.com/office/drawing/2014/chart" uri="{C3380CC4-5D6E-409C-BE32-E72D297353CC}">
              <c16:uniqueId val="{00000001-067C-4572-B4B6-7AFAC9A125B4}"/>
            </c:ext>
          </c:extLst>
        </c:ser>
        <c:ser>
          <c:idx val="8"/>
          <c:order val="3"/>
          <c:tx>
            <c:v>Eloma</c:v>
          </c:tx>
          <c:spPr>
            <a:ln w="19050" cap="rnd">
              <a:noFill/>
              <a:round/>
            </a:ln>
            <a:effectLst/>
          </c:spPr>
          <c:marker>
            <c:symbol val="circle"/>
            <c:size val="18"/>
            <c:spPr>
              <a:solidFill>
                <a:srgbClr val="00B050"/>
              </a:solidFill>
              <a:ln w="6350">
                <a:solidFill>
                  <a:sysClr val="windowText" lastClr="000000"/>
                </a:solidFill>
              </a:ln>
              <a:effectLst/>
            </c:spPr>
          </c:marker>
          <c:xVal>
            <c:numRef>
              <c:f>OldData_2_3rd_CombiE!$J$4:$J$4</c:f>
              <c:numCache>
                <c:formatCode>General</c:formatCode>
                <c:ptCount val="1"/>
                <c:pt idx="0">
                  <c:v>4</c:v>
                </c:pt>
              </c:numCache>
            </c:numRef>
          </c:xVal>
          <c:yVal>
            <c:numRef>
              <c:f>OldData_2_3rd_CombiE!$F$4:$F$4</c:f>
              <c:numCache>
                <c:formatCode>General</c:formatCode>
                <c:ptCount val="1"/>
                <c:pt idx="0">
                  <c:v>1.33</c:v>
                </c:pt>
              </c:numCache>
            </c:numRef>
          </c:yVal>
          <c:smooth val="0"/>
          <c:extLst>
            <c:ext xmlns:c16="http://schemas.microsoft.com/office/drawing/2014/chart" uri="{C3380CC4-5D6E-409C-BE32-E72D297353CC}">
              <c16:uniqueId val="{00000004-067C-4572-B4B6-7AFAC9A125B4}"/>
            </c:ext>
          </c:extLst>
        </c:ser>
        <c:ser>
          <c:idx val="11"/>
          <c:order val="4"/>
          <c:tx>
            <c:v>Rational</c:v>
          </c:tx>
          <c:spPr>
            <a:ln w="19050" cap="rnd">
              <a:noFill/>
              <a:round/>
            </a:ln>
            <a:effectLst/>
          </c:spPr>
          <c:marker>
            <c:symbol val="square"/>
            <c:size val="18"/>
            <c:spPr>
              <a:solidFill>
                <a:srgbClr val="FF0000"/>
              </a:solidFill>
              <a:ln w="6350">
                <a:solidFill>
                  <a:sysClr val="windowText" lastClr="000000"/>
                </a:solidFill>
              </a:ln>
              <a:effectLst/>
            </c:spPr>
          </c:marker>
          <c:xVal>
            <c:numRef>
              <c:f>OldData_2_3rd_CombiE!$J$5:$J$6</c:f>
              <c:numCache>
                <c:formatCode>General</c:formatCode>
                <c:ptCount val="2"/>
                <c:pt idx="0">
                  <c:v>4</c:v>
                </c:pt>
                <c:pt idx="1">
                  <c:v>4</c:v>
                </c:pt>
              </c:numCache>
            </c:numRef>
          </c:xVal>
          <c:yVal>
            <c:numRef>
              <c:f>OldData_2_3rd_CombiE!$F$5:$F$6</c:f>
              <c:numCache>
                <c:formatCode>General</c:formatCode>
                <c:ptCount val="2"/>
                <c:pt idx="0">
                  <c:v>0.54</c:v>
                </c:pt>
                <c:pt idx="1">
                  <c:v>0.51</c:v>
                </c:pt>
              </c:numCache>
            </c:numRef>
          </c:yVal>
          <c:smooth val="0"/>
          <c:extLst>
            <c:ext xmlns:c16="http://schemas.microsoft.com/office/drawing/2014/chart" uri="{C3380CC4-5D6E-409C-BE32-E72D297353CC}">
              <c16:uniqueId val="{00000007-067C-4572-B4B6-7AFAC9A125B4}"/>
            </c:ext>
          </c:extLst>
        </c:ser>
        <c:ser>
          <c:idx val="12"/>
          <c:order val="5"/>
          <c:tx>
            <c:v>Unox</c:v>
          </c:tx>
          <c:spPr>
            <a:ln w="19050" cap="rnd">
              <a:noFill/>
              <a:round/>
            </a:ln>
            <a:effectLst/>
          </c:spPr>
          <c:marker>
            <c:symbol val="circle"/>
            <c:size val="16"/>
            <c:spPr>
              <a:solidFill>
                <a:srgbClr val="FFC000"/>
              </a:solidFill>
              <a:ln w="6350">
                <a:solidFill>
                  <a:sysClr val="windowText" lastClr="000000"/>
                </a:solidFill>
              </a:ln>
              <a:effectLst/>
            </c:spPr>
          </c:marker>
          <c:xVal>
            <c:numRef>
              <c:f>OldData_2_3rd_CombiE!$J$7</c:f>
              <c:numCache>
                <c:formatCode>General</c:formatCode>
                <c:ptCount val="1"/>
                <c:pt idx="0">
                  <c:v>5</c:v>
                </c:pt>
              </c:numCache>
            </c:numRef>
          </c:xVal>
          <c:yVal>
            <c:numRef>
              <c:f>OldData_2_3rd_CombiE!$F$7</c:f>
              <c:numCache>
                <c:formatCode>General</c:formatCode>
                <c:ptCount val="1"/>
                <c:pt idx="0">
                  <c:v>2.86</c:v>
                </c:pt>
              </c:numCache>
            </c:numRef>
          </c:yVal>
          <c:smooth val="0"/>
          <c:extLst>
            <c:ext xmlns:c16="http://schemas.microsoft.com/office/drawing/2014/chart" uri="{C3380CC4-5D6E-409C-BE32-E72D297353CC}">
              <c16:uniqueId val="{00000008-067C-4572-B4B6-7AFAC9A125B4}"/>
            </c:ext>
          </c:extLst>
        </c:ser>
        <c:ser>
          <c:idx val="6"/>
          <c:order val="6"/>
          <c:tx>
            <c:v>Masked</c:v>
          </c:tx>
          <c:spPr>
            <a:ln w="19050" cap="rnd">
              <a:noFill/>
              <a:round/>
            </a:ln>
            <a:effectLst/>
          </c:spPr>
          <c:marker>
            <c:symbol val="circle"/>
            <c:size val="12"/>
            <c:spPr>
              <a:solidFill>
                <a:srgbClr val="E7E6E6">
                  <a:lumMod val="90000"/>
                </a:srgbClr>
              </a:solidFill>
              <a:ln w="6350">
                <a:solidFill>
                  <a:sysClr val="windowText" lastClr="000000"/>
                </a:solidFill>
              </a:ln>
              <a:effectLst/>
            </c:spPr>
          </c:marker>
          <c:xVal>
            <c:numRef>
              <c:f>OldData_2_3rd_CombiE!$J$2:$J$3</c:f>
              <c:numCache>
                <c:formatCode>General</c:formatCode>
                <c:ptCount val="2"/>
                <c:pt idx="0">
                  <c:v>4</c:v>
                </c:pt>
                <c:pt idx="1">
                  <c:v>4</c:v>
                </c:pt>
              </c:numCache>
            </c:numRef>
          </c:xVal>
          <c:yVal>
            <c:numRef>
              <c:f>OldData_2_3rd_CombiE!$F$2:$F$3</c:f>
              <c:numCache>
                <c:formatCode>General</c:formatCode>
                <c:ptCount val="2"/>
                <c:pt idx="0">
                  <c:v>3.08</c:v>
                </c:pt>
                <c:pt idx="1">
                  <c:v>4.9749999999999996</c:v>
                </c:pt>
              </c:numCache>
            </c:numRef>
          </c:yVal>
          <c:smooth val="0"/>
          <c:extLst>
            <c:ext xmlns:c16="http://schemas.microsoft.com/office/drawing/2014/chart" uri="{C3380CC4-5D6E-409C-BE32-E72D297353CC}">
              <c16:uniqueId val="{00000009-067C-4572-B4B6-7AFAC9A125B4}"/>
            </c:ext>
          </c:extLst>
        </c:ser>
        <c:dLbls>
          <c:showLegendKey val="0"/>
          <c:showVal val="0"/>
          <c:showCatName val="0"/>
          <c:showSerName val="0"/>
          <c:showPercent val="0"/>
          <c:showBubbleSize val="0"/>
        </c:dLbls>
        <c:axId val="1339364527"/>
        <c:axId val="1486491071"/>
        <c:extLst>
          <c:ext xmlns:c15="http://schemas.microsoft.com/office/drawing/2012/chart" uri="{02D57815-91ED-43cb-92C2-25804820EDAC}">
            <c15:filteredScatterSeries>
              <c15:ser>
                <c:idx val="0"/>
                <c:order val="1"/>
                <c:tx>
                  <c:v>2/3 pans</c:v>
                </c:tx>
                <c:spPr>
                  <a:ln w="19050" cap="rnd">
                    <a:noFill/>
                    <a:round/>
                  </a:ln>
                  <a:effectLst/>
                </c:spPr>
                <c:marker>
                  <c:symbol val="circle"/>
                  <c:size val="5"/>
                  <c:spPr>
                    <a:solidFill>
                      <a:schemeClr val="accent1"/>
                    </a:solidFill>
                    <a:ln w="9525">
                      <a:solidFill>
                        <a:schemeClr val="accent1"/>
                      </a:solidFill>
                    </a:ln>
                    <a:effectLst/>
                  </c:spPr>
                </c:marker>
                <c:dPt>
                  <c:idx val="2"/>
                  <c:marker>
                    <c:symbol val="none"/>
                  </c:marker>
                  <c:bubble3D val="0"/>
                  <c:spPr>
                    <a:ln w="19050" cap="rnd">
                      <a:solidFill>
                        <a:schemeClr val="accent1"/>
                      </a:solidFill>
                      <a:round/>
                    </a:ln>
                    <a:effectLst/>
                  </c:spPr>
                  <c:extLst>
                    <c:ext xmlns:c16="http://schemas.microsoft.com/office/drawing/2014/chart" uri="{C3380CC4-5D6E-409C-BE32-E72D297353CC}">
                      <c16:uniqueId val="{00000002-1D6C-4696-A345-7F4D5E3EB5CD}"/>
                    </c:ext>
                  </c:extLst>
                </c:dPt>
                <c:dPt>
                  <c:idx val="5"/>
                  <c:marker>
                    <c:symbol val="none"/>
                  </c:marker>
                  <c:bubble3D val="0"/>
                  <c:spPr>
                    <a:ln w="19050" cap="rnd">
                      <a:solidFill>
                        <a:schemeClr val="accent1"/>
                      </a:solidFill>
                      <a:round/>
                    </a:ln>
                    <a:effectLst/>
                  </c:spPr>
                  <c:extLst>
                    <c:ext xmlns:c16="http://schemas.microsoft.com/office/drawing/2014/chart" uri="{C3380CC4-5D6E-409C-BE32-E72D297353CC}">
                      <c16:uniqueId val="{00000001-0D1D-45AF-9644-C354EBAF2F4A}"/>
                    </c:ext>
                  </c:extLst>
                </c:dPt>
                <c:xVal>
                  <c:numRef>
                    <c:extLst>
                      <c:ext uri="{02D57815-91ED-43cb-92C2-25804820EDAC}">
                        <c15:formulaRef>
                          <c15:sqref>OldData_2_3rd_CombiE!$J$2:$J$8</c15:sqref>
                        </c15:formulaRef>
                      </c:ext>
                    </c:extLst>
                    <c:numCache>
                      <c:formatCode>General</c:formatCode>
                      <c:ptCount val="7"/>
                      <c:pt idx="0">
                        <c:v>4</c:v>
                      </c:pt>
                      <c:pt idx="1">
                        <c:v>4</c:v>
                      </c:pt>
                      <c:pt idx="2">
                        <c:v>4</c:v>
                      </c:pt>
                      <c:pt idx="3">
                        <c:v>4</c:v>
                      </c:pt>
                      <c:pt idx="4">
                        <c:v>4</c:v>
                      </c:pt>
                      <c:pt idx="5">
                        <c:v>5</c:v>
                      </c:pt>
                    </c:numCache>
                  </c:numRef>
                </c:xVal>
                <c:yVal>
                  <c:numRef>
                    <c:extLst>
                      <c:ext uri="{02D57815-91ED-43cb-92C2-25804820EDAC}">
                        <c15:formulaRef>
                          <c15:sqref>OldData_2_3rd_CombiE!$F$2:$F$8</c15:sqref>
                        </c15:formulaRef>
                      </c:ext>
                    </c:extLst>
                    <c:numCache>
                      <c:formatCode>General</c:formatCode>
                      <c:ptCount val="7"/>
                      <c:pt idx="0">
                        <c:v>3.08</c:v>
                      </c:pt>
                      <c:pt idx="1">
                        <c:v>4.9749999999999996</c:v>
                      </c:pt>
                      <c:pt idx="2">
                        <c:v>1.33</c:v>
                      </c:pt>
                      <c:pt idx="3">
                        <c:v>0.54</c:v>
                      </c:pt>
                      <c:pt idx="4">
                        <c:v>0.51</c:v>
                      </c:pt>
                      <c:pt idx="5">
                        <c:v>2.86</c:v>
                      </c:pt>
                    </c:numCache>
                  </c:numRef>
                </c:yVal>
                <c:smooth val="0"/>
                <c:extLst>
                  <c:ext xmlns:c16="http://schemas.microsoft.com/office/drawing/2014/chart" uri="{C3380CC4-5D6E-409C-BE32-E72D297353CC}">
                    <c16:uniqueId val="{0000000E-067C-4572-B4B6-7AFAC9A125B4}"/>
                  </c:ext>
                </c:extLst>
              </c15:ser>
            </c15:filteredScatterSeries>
          </c:ext>
        </c:extLst>
      </c:scatterChart>
      <c:valAx>
        <c:axId val="1339364527"/>
        <c:scaling>
          <c:orientation val="minMax"/>
          <c:max val="6"/>
          <c:min val="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Pan Capacity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6491071"/>
        <c:crosses val="autoZero"/>
        <c:crossBetween val="midCat"/>
        <c:majorUnit val="1"/>
      </c:valAx>
      <c:valAx>
        <c:axId val="1486491071"/>
        <c:scaling>
          <c:orientation val="minMax"/>
          <c:max val="5.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Steam Mode Idle, kW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9364527"/>
        <c:crosses val="autoZero"/>
        <c:crossBetween val="midCat"/>
        <c:majorUnit val="0.5"/>
      </c:valAx>
      <c:spPr>
        <a:noFill/>
        <a:ln>
          <a:noFill/>
        </a:ln>
        <a:effectLst/>
      </c:spPr>
    </c:plotArea>
    <c:legend>
      <c:legendPos val="r"/>
      <c:layout>
        <c:manualLayout>
          <c:xMode val="edge"/>
          <c:yMode val="edge"/>
          <c:x val="0.80665903077371304"/>
          <c:y val="0"/>
          <c:w val="0.19130849140562955"/>
          <c:h val="1"/>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Convection Mode Idle</a:t>
            </a:r>
          </a:p>
        </c:rich>
      </c:tx>
      <c:layout>
        <c:manualLayout>
          <c:xMode val="edge"/>
          <c:yMode val="edge"/>
          <c:x val="0.31355778085232305"/>
          <c:y val="5.651608436518712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6431246399078158E-2"/>
          <c:y val="0.13475022706630335"/>
          <c:w val="0.70767348441200961"/>
          <c:h val="0.70392985617942172"/>
        </c:manualLayout>
      </c:layout>
      <c:scatterChart>
        <c:scatterStyle val="lineMarker"/>
        <c:varyColors val="0"/>
        <c:ser>
          <c:idx val="2"/>
          <c:order val="0"/>
          <c:tx>
            <c:v>Potential Idle Max</c:v>
          </c:tx>
          <c:spPr>
            <a:ln w="38100" cap="rnd">
              <a:solidFill>
                <a:srgbClr val="70AD47">
                  <a:lumMod val="40000"/>
                  <a:lumOff val="60000"/>
                </a:srgbClr>
              </a:solidFill>
              <a:round/>
            </a:ln>
            <a:effectLst/>
          </c:spPr>
          <c:marker>
            <c:symbol val="none"/>
          </c:marker>
          <c:trendline>
            <c:spPr>
              <a:ln w="19050" cap="rnd">
                <a:solidFill>
                  <a:schemeClr val="accent3"/>
                </a:solidFill>
                <a:prstDash val="sysDot"/>
              </a:ln>
              <a:effectLst/>
            </c:spPr>
            <c:trendlineType val="linear"/>
            <c:dispRSqr val="0"/>
            <c:dispEq val="1"/>
            <c:trendlineLbl>
              <c:layout>
                <c:manualLayout>
                  <c:x val="-1.7273749051299588E-2"/>
                  <c:y val="-1.2755779595497944E-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OldGraph_2_3rd_CombiE!$N$28</c:f>
              <c:numCache>
                <c:formatCode>General</c:formatCode>
                <c:ptCount val="1"/>
                <c:pt idx="0">
                  <c:v>6</c:v>
                </c:pt>
              </c:numCache>
              <c:extLst/>
            </c:numRef>
          </c:xVal>
          <c:yVal>
            <c:numRef>
              <c:f>OldGraph_2_3rd_CombiE!$O$28</c:f>
              <c:numCache>
                <c:formatCode>General</c:formatCode>
                <c:ptCount val="1"/>
                <c:pt idx="0">
                  <c:v>1.05</c:v>
                </c:pt>
              </c:numCache>
              <c:extLst/>
            </c:numRef>
          </c:yVal>
          <c:smooth val="0"/>
          <c:extLst>
            <c:ext xmlns:c16="http://schemas.microsoft.com/office/drawing/2014/chart" uri="{C3380CC4-5D6E-409C-BE32-E72D297353CC}">
              <c16:uniqueId val="{00000001-8EB4-4A59-A120-28131AAD2B72}"/>
            </c:ext>
          </c:extLst>
        </c:ser>
        <c:ser>
          <c:idx val="5"/>
          <c:order val="2"/>
          <c:tx>
            <c:v>Baseline for other Combis</c:v>
          </c:tx>
          <c:spPr>
            <a:ln w="19050" cap="rnd">
              <a:solidFill>
                <a:sysClr val="windowText" lastClr="000000"/>
              </a:solidFill>
              <a:prstDash val="dash"/>
              <a:round/>
            </a:ln>
            <a:effectLst/>
          </c:spPr>
          <c:marker>
            <c:symbol val="circle"/>
            <c:size val="3"/>
            <c:spPr>
              <a:solidFill>
                <a:schemeClr val="tx1"/>
              </a:solidFill>
              <a:ln w="9525">
                <a:noFill/>
              </a:ln>
              <a:effectLst/>
            </c:spPr>
          </c:marker>
          <c:xVal>
            <c:numRef>
              <c:f>OldGraph_2_3rd_CombiE!$M$35</c:f>
              <c:numCache>
                <c:formatCode>General</c:formatCode>
                <c:ptCount val="1"/>
                <c:pt idx="0">
                  <c:v>8</c:v>
                </c:pt>
              </c:numCache>
              <c:extLst/>
            </c:numRef>
          </c:xVal>
          <c:yVal>
            <c:numRef>
              <c:f>OldGraph_2_3rd_CombiE!$N$35</c:f>
              <c:numCache>
                <c:formatCode>General</c:formatCode>
                <c:ptCount val="1"/>
                <c:pt idx="0">
                  <c:v>1.1389</c:v>
                </c:pt>
              </c:numCache>
              <c:extLst/>
            </c:numRef>
          </c:yVal>
          <c:smooth val="0"/>
          <c:extLst>
            <c:ext xmlns:c16="http://schemas.microsoft.com/office/drawing/2014/chart" uri="{C3380CC4-5D6E-409C-BE32-E72D297353CC}">
              <c16:uniqueId val="{00000002-8EB4-4A59-A120-28131AAD2B72}"/>
            </c:ext>
          </c:extLst>
        </c:ser>
        <c:ser>
          <c:idx val="1"/>
          <c:order val="3"/>
          <c:tx>
            <c:v>Eloma</c:v>
          </c:tx>
          <c:spPr>
            <a:ln w="19050" cap="rnd">
              <a:noFill/>
              <a:round/>
            </a:ln>
            <a:effectLst/>
          </c:spPr>
          <c:marker>
            <c:symbol val="circle"/>
            <c:size val="18"/>
            <c:spPr>
              <a:solidFill>
                <a:srgbClr val="00B050"/>
              </a:solidFill>
              <a:ln w="9525">
                <a:solidFill>
                  <a:sysClr val="windowText" lastClr="000000"/>
                </a:solidFill>
              </a:ln>
              <a:effectLst/>
            </c:spPr>
          </c:marker>
          <c:xVal>
            <c:numLit>
              <c:ptCount val="0"/>
            </c:numLit>
          </c:xVal>
          <c:yVal>
            <c:numLit>
              <c:ptCount val="0"/>
            </c:numLit>
          </c:yVal>
          <c:smooth val="0"/>
          <c:extLst xmlns:c15="http://schemas.microsoft.com/office/drawing/2012/chart">
            <c:ext xmlns:c16="http://schemas.microsoft.com/office/drawing/2014/chart" uri="{C3380CC4-5D6E-409C-BE32-E72D297353CC}">
              <c16:uniqueId val="{00000004-6A7D-4FC7-A2C1-24AE241EF24A}"/>
            </c:ext>
          </c:extLst>
        </c:ser>
        <c:ser>
          <c:idx val="11"/>
          <c:order val="4"/>
          <c:tx>
            <c:v>Rational</c:v>
          </c:tx>
          <c:spPr>
            <a:ln w="19050" cap="rnd">
              <a:noFill/>
              <a:round/>
            </a:ln>
            <a:effectLst/>
          </c:spPr>
          <c:marker>
            <c:symbol val="square"/>
            <c:size val="18"/>
            <c:spPr>
              <a:solidFill>
                <a:srgbClr val="FF0000"/>
              </a:solidFill>
              <a:ln w="6350">
                <a:solidFill>
                  <a:sysClr val="windowText" lastClr="000000"/>
                </a:solidFill>
              </a:ln>
              <a:effectLst/>
            </c:spPr>
          </c:marker>
          <c:xVal>
            <c:numRef>
              <c:f>OldData_2_3rd_CombiE!$J$6</c:f>
              <c:numCache>
                <c:formatCode>General</c:formatCode>
                <c:ptCount val="1"/>
                <c:pt idx="0">
                  <c:v>4</c:v>
                </c:pt>
              </c:numCache>
              <c:extLst/>
            </c:numRef>
          </c:xVal>
          <c:yVal>
            <c:numRef>
              <c:f>OldData_2_3rd_CombiE!$G$6</c:f>
              <c:numCache>
                <c:formatCode>General</c:formatCode>
                <c:ptCount val="1"/>
                <c:pt idx="0">
                  <c:v>0.436</c:v>
                </c:pt>
              </c:numCache>
              <c:extLst/>
            </c:numRef>
          </c:yVal>
          <c:smooth val="0"/>
          <c:extLst>
            <c:ext xmlns:c16="http://schemas.microsoft.com/office/drawing/2014/chart" uri="{C3380CC4-5D6E-409C-BE32-E72D297353CC}">
              <c16:uniqueId val="{00000008-8EB4-4A59-A120-28131AAD2B72}"/>
            </c:ext>
          </c:extLst>
        </c:ser>
        <c:ser>
          <c:idx val="12"/>
          <c:order val="5"/>
          <c:tx>
            <c:v>Unox</c:v>
          </c:tx>
          <c:spPr>
            <a:ln w="19050" cap="rnd">
              <a:noFill/>
              <a:round/>
            </a:ln>
            <a:effectLst/>
          </c:spPr>
          <c:marker>
            <c:symbol val="circle"/>
            <c:size val="16"/>
            <c:spPr>
              <a:solidFill>
                <a:srgbClr val="FFC000"/>
              </a:solidFill>
              <a:ln w="6350">
                <a:solidFill>
                  <a:sysClr val="windowText" lastClr="000000"/>
                </a:solidFill>
              </a:ln>
              <a:effectLst/>
            </c:spPr>
          </c:marker>
          <c:xVal>
            <c:numLit>
              <c:ptCount val="0"/>
            </c:numLit>
          </c:xVal>
          <c:yVal>
            <c:numLit>
              <c:ptCount val="0"/>
            </c:numLit>
          </c:yVal>
          <c:smooth val="0"/>
          <c:extLst xmlns:c15="http://schemas.microsoft.com/office/drawing/2012/chart">
            <c:ext xmlns:c16="http://schemas.microsoft.com/office/drawing/2014/chart" uri="{C3380CC4-5D6E-409C-BE32-E72D297353CC}">
              <c16:uniqueId val="{00000009-8EB4-4A59-A120-28131AAD2B72}"/>
            </c:ext>
          </c:extLst>
        </c:ser>
        <c:ser>
          <c:idx val="6"/>
          <c:order val="6"/>
          <c:tx>
            <c:v>Masked</c:v>
          </c:tx>
          <c:spPr>
            <a:ln w="19050" cap="rnd">
              <a:noFill/>
              <a:round/>
            </a:ln>
            <a:effectLst/>
          </c:spPr>
          <c:marker>
            <c:symbol val="circle"/>
            <c:size val="12"/>
            <c:spPr>
              <a:solidFill>
                <a:srgbClr val="E7E6E6">
                  <a:lumMod val="90000"/>
                </a:srgbClr>
              </a:solidFill>
              <a:ln w="6350">
                <a:solidFill>
                  <a:sysClr val="windowText" lastClr="000000"/>
                </a:solidFill>
              </a:ln>
              <a:effectLst/>
            </c:spPr>
          </c:marker>
          <c:xVal>
            <c:numRef>
              <c:f>OldData_2_3rd_CombiE!$J$3</c:f>
              <c:numCache>
                <c:formatCode>General</c:formatCode>
                <c:ptCount val="1"/>
                <c:pt idx="0">
                  <c:v>4</c:v>
                </c:pt>
              </c:numCache>
              <c:extLst/>
            </c:numRef>
          </c:xVal>
          <c:yVal>
            <c:numRef>
              <c:f>OldData_2_3rd_CombiE!$G$3</c:f>
              <c:numCache>
                <c:formatCode>General</c:formatCode>
                <c:ptCount val="1"/>
                <c:pt idx="0">
                  <c:v>0.71599999999999997</c:v>
                </c:pt>
              </c:numCache>
              <c:extLst/>
            </c:numRef>
          </c:yVal>
          <c:smooth val="0"/>
          <c:extLst>
            <c:ext xmlns:c16="http://schemas.microsoft.com/office/drawing/2014/chart" uri="{C3380CC4-5D6E-409C-BE32-E72D297353CC}">
              <c16:uniqueId val="{0000000A-8EB4-4A59-A120-28131AAD2B72}"/>
            </c:ext>
          </c:extLst>
        </c:ser>
        <c:dLbls>
          <c:showLegendKey val="0"/>
          <c:showVal val="0"/>
          <c:showCatName val="0"/>
          <c:showSerName val="0"/>
          <c:showPercent val="0"/>
          <c:showBubbleSize val="0"/>
        </c:dLbls>
        <c:axId val="1339364527"/>
        <c:axId val="1486491071"/>
        <c:extLst>
          <c:ext xmlns:c15="http://schemas.microsoft.com/office/drawing/2012/chart" uri="{02D57815-91ED-43cb-92C2-25804820EDAC}">
            <c15:filteredScatterSeries>
              <c15:ser>
                <c:idx val="0"/>
                <c:order val="1"/>
                <c:tx>
                  <c:v>2/3 pans</c:v>
                </c:tx>
                <c:spPr>
                  <a:ln w="19050" cap="rnd">
                    <a:noFill/>
                    <a:round/>
                  </a:ln>
                  <a:effectLst/>
                </c:spPr>
                <c:marker>
                  <c:symbol val="circle"/>
                  <c:size val="5"/>
                  <c:spPr>
                    <a:solidFill>
                      <a:schemeClr val="accent1"/>
                    </a:solidFill>
                    <a:ln w="9525">
                      <a:solidFill>
                        <a:schemeClr val="accent1"/>
                      </a:solidFill>
                    </a:ln>
                    <a:effectLst/>
                  </c:spPr>
                </c:marker>
                <c:dPt>
                  <c:idx val="4"/>
                  <c:marker>
                    <c:symbol val="square"/>
                    <c:size val="4"/>
                    <c:spPr>
                      <a:solidFill>
                        <a:schemeClr val="accent1"/>
                      </a:solidFill>
                      <a:ln w="9525">
                        <a:solidFill>
                          <a:schemeClr val="accent1"/>
                        </a:solidFill>
                      </a:ln>
                      <a:effectLst/>
                    </c:spPr>
                  </c:marker>
                  <c:bubble3D val="0"/>
                  <c:spPr>
                    <a:ln w="19050" cap="rnd">
                      <a:noFill/>
                      <a:round/>
                    </a:ln>
                    <a:effectLst/>
                  </c:spPr>
                  <c:extLst>
                    <c:ext xmlns:c16="http://schemas.microsoft.com/office/drawing/2014/chart" uri="{C3380CC4-5D6E-409C-BE32-E72D297353CC}">
                      <c16:uniqueId val="{00000002-23D0-4344-8BD7-862C3BB57851}"/>
                    </c:ext>
                  </c:extLst>
                </c:dPt>
                <c:xVal>
                  <c:numRef>
                    <c:extLst>
                      <c:ext uri="{02D57815-91ED-43cb-92C2-25804820EDAC}">
                        <c15:formulaRef>
                          <c15:sqref>OldData_2_3rd_CombiE!$J$3:$J$8</c15:sqref>
                        </c15:formulaRef>
                      </c:ext>
                    </c:extLst>
                    <c:numCache>
                      <c:formatCode>General</c:formatCode>
                      <c:ptCount val="6"/>
                      <c:pt idx="0">
                        <c:v>4</c:v>
                      </c:pt>
                      <c:pt idx="1">
                        <c:v>4</c:v>
                      </c:pt>
                      <c:pt idx="2">
                        <c:v>4</c:v>
                      </c:pt>
                      <c:pt idx="3">
                        <c:v>4</c:v>
                      </c:pt>
                      <c:pt idx="4">
                        <c:v>5</c:v>
                      </c:pt>
                    </c:numCache>
                  </c:numRef>
                </c:xVal>
                <c:yVal>
                  <c:numRef>
                    <c:extLst>
                      <c:ext uri="{02D57815-91ED-43cb-92C2-25804820EDAC}">
                        <c15:formulaRef>
                          <c15:sqref>OldData_2_3rd_CombiE!$F$3:$F$8</c15:sqref>
                        </c15:formulaRef>
                      </c:ext>
                    </c:extLst>
                    <c:numCache>
                      <c:formatCode>General</c:formatCode>
                      <c:ptCount val="6"/>
                      <c:pt idx="0">
                        <c:v>4.9749999999999996</c:v>
                      </c:pt>
                      <c:pt idx="1">
                        <c:v>1.33</c:v>
                      </c:pt>
                      <c:pt idx="2">
                        <c:v>0.54</c:v>
                      </c:pt>
                      <c:pt idx="3">
                        <c:v>0.51</c:v>
                      </c:pt>
                      <c:pt idx="4">
                        <c:v>2.86</c:v>
                      </c:pt>
                    </c:numCache>
                  </c:numRef>
                </c:yVal>
                <c:smooth val="0"/>
                <c:extLst>
                  <c:ext xmlns:c16="http://schemas.microsoft.com/office/drawing/2014/chart" uri="{C3380CC4-5D6E-409C-BE32-E72D297353CC}">
                    <c16:uniqueId val="{00000010-8EB4-4A59-A120-28131AAD2B72}"/>
                  </c:ext>
                </c:extLst>
              </c15:ser>
            </c15:filteredScatterSeries>
          </c:ext>
        </c:extLst>
      </c:scatterChart>
      <c:valAx>
        <c:axId val="1339364527"/>
        <c:scaling>
          <c:orientation val="minMax"/>
          <c:max val="6"/>
          <c:min val="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Pan Capacity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6491071"/>
        <c:crosses val="autoZero"/>
        <c:crossBetween val="midCat"/>
        <c:majorUnit val="1"/>
      </c:valAx>
      <c:valAx>
        <c:axId val="1486491071"/>
        <c:scaling>
          <c:orientation val="minMax"/>
          <c:max val="2"/>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Convection Mode Idle, kW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9364527"/>
        <c:crosses val="autoZero"/>
        <c:crossBetween val="midCat"/>
      </c:valAx>
      <c:spPr>
        <a:noFill/>
        <a:ln>
          <a:noFill/>
        </a:ln>
        <a:effectLst/>
      </c:spPr>
    </c:plotArea>
    <c:legend>
      <c:legendPos val="r"/>
      <c:layout>
        <c:manualLayout>
          <c:xMode val="edge"/>
          <c:yMode val="edge"/>
          <c:x val="0.83327850880722221"/>
          <c:y val="0.16371004906237324"/>
          <c:w val="0.16672149119277785"/>
          <c:h val="0.5766414855812236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Steam Mode Efficiency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6431251308310387E-2"/>
          <c:y val="0.13194969707367479"/>
          <c:w val="0.70767348441200961"/>
          <c:h val="0.70392985617942172"/>
        </c:manualLayout>
      </c:layout>
      <c:scatterChart>
        <c:scatterStyle val="lineMarker"/>
        <c:varyColors val="0"/>
        <c:ser>
          <c:idx val="2"/>
          <c:order val="0"/>
          <c:tx>
            <c:v>Potential Idle Max</c:v>
          </c:tx>
          <c:spPr>
            <a:ln w="41275" cap="rnd">
              <a:solidFill>
                <a:srgbClr val="70AD47">
                  <a:lumMod val="60000"/>
                  <a:lumOff val="40000"/>
                </a:srgbClr>
              </a:solidFill>
              <a:round/>
            </a:ln>
            <a:effectLst/>
          </c:spPr>
          <c:marker>
            <c:symbol val="none"/>
          </c:marker>
          <c:xVal>
            <c:numRef>
              <c:f>OldGraph_2_3rd_CombiE!$Z$27:$Z$28</c:f>
              <c:numCache>
                <c:formatCode>General</c:formatCode>
                <c:ptCount val="2"/>
                <c:pt idx="0">
                  <c:v>0</c:v>
                </c:pt>
                <c:pt idx="1">
                  <c:v>6</c:v>
                </c:pt>
              </c:numCache>
            </c:numRef>
          </c:xVal>
          <c:yVal>
            <c:numRef>
              <c:f>OldGraph_2_3rd_CombiE!$AA$27:$AA$28</c:f>
              <c:numCache>
                <c:formatCode>General</c:formatCode>
                <c:ptCount val="2"/>
                <c:pt idx="0">
                  <c:v>51</c:v>
                </c:pt>
                <c:pt idx="1">
                  <c:v>51</c:v>
                </c:pt>
              </c:numCache>
            </c:numRef>
          </c:yVal>
          <c:smooth val="0"/>
          <c:extLst>
            <c:ext xmlns:c16="http://schemas.microsoft.com/office/drawing/2014/chart" uri="{C3380CC4-5D6E-409C-BE32-E72D297353CC}">
              <c16:uniqueId val="{00000000-9537-4F19-ADD0-5F2CE9F5DA96}"/>
            </c:ext>
          </c:extLst>
        </c:ser>
        <c:ser>
          <c:idx val="5"/>
          <c:order val="2"/>
          <c:tx>
            <c:v>Baseline for other Combis</c:v>
          </c:tx>
          <c:spPr>
            <a:ln w="19050" cap="rnd">
              <a:solidFill>
                <a:sysClr val="windowText" lastClr="000000"/>
              </a:solidFill>
              <a:prstDash val="dash"/>
              <a:round/>
            </a:ln>
            <a:effectLst/>
          </c:spPr>
          <c:marker>
            <c:symbol val="circle"/>
            <c:size val="3"/>
            <c:spPr>
              <a:solidFill>
                <a:schemeClr val="tx1"/>
              </a:solidFill>
              <a:ln w="9525">
                <a:noFill/>
              </a:ln>
              <a:effectLst/>
            </c:spPr>
          </c:marker>
          <c:xVal>
            <c:numRef>
              <c:f>OldGraph_2_3rd_CombiE!$X$33:$X$34</c:f>
              <c:numCache>
                <c:formatCode>General</c:formatCode>
                <c:ptCount val="2"/>
                <c:pt idx="0">
                  <c:v>0</c:v>
                </c:pt>
                <c:pt idx="1">
                  <c:v>40</c:v>
                </c:pt>
              </c:numCache>
            </c:numRef>
          </c:xVal>
          <c:yVal>
            <c:numRef>
              <c:f>OldGraph_2_3rd_CombiE!$Y$33:$Y$34</c:f>
              <c:numCache>
                <c:formatCode>General</c:formatCode>
                <c:ptCount val="2"/>
                <c:pt idx="0">
                  <c:v>55</c:v>
                </c:pt>
                <c:pt idx="1">
                  <c:v>55</c:v>
                </c:pt>
              </c:numCache>
            </c:numRef>
          </c:yVal>
          <c:smooth val="0"/>
          <c:extLst>
            <c:ext xmlns:c16="http://schemas.microsoft.com/office/drawing/2014/chart" uri="{C3380CC4-5D6E-409C-BE32-E72D297353CC}">
              <c16:uniqueId val="{00000001-9537-4F19-ADD0-5F2CE9F5DA96}"/>
            </c:ext>
          </c:extLst>
        </c:ser>
        <c:ser>
          <c:idx val="8"/>
          <c:order val="3"/>
          <c:tx>
            <c:v>Eloma</c:v>
          </c:tx>
          <c:spPr>
            <a:ln w="19050" cap="rnd">
              <a:noFill/>
              <a:round/>
            </a:ln>
            <a:effectLst/>
          </c:spPr>
          <c:marker>
            <c:symbol val="circle"/>
            <c:size val="18"/>
            <c:spPr>
              <a:solidFill>
                <a:srgbClr val="00B050"/>
              </a:solidFill>
              <a:ln w="6350">
                <a:solidFill>
                  <a:sysClr val="windowText" lastClr="000000"/>
                </a:solidFill>
              </a:ln>
              <a:effectLst/>
            </c:spPr>
          </c:marker>
          <c:xVal>
            <c:numRef>
              <c:f>OldData_2_3rd_CombiE!$J$4</c:f>
              <c:numCache>
                <c:formatCode>General</c:formatCode>
                <c:ptCount val="1"/>
                <c:pt idx="0">
                  <c:v>4</c:v>
                </c:pt>
              </c:numCache>
            </c:numRef>
          </c:xVal>
          <c:yVal>
            <c:numRef>
              <c:f>OldData_2_3rd_CombiE!$H$4</c:f>
              <c:numCache>
                <c:formatCode>General</c:formatCode>
                <c:ptCount val="1"/>
                <c:pt idx="0">
                  <c:v>49.4</c:v>
                </c:pt>
              </c:numCache>
            </c:numRef>
          </c:yVal>
          <c:smooth val="0"/>
          <c:extLst>
            <c:ext xmlns:c16="http://schemas.microsoft.com/office/drawing/2014/chart" uri="{C3380CC4-5D6E-409C-BE32-E72D297353CC}">
              <c16:uniqueId val="{00000004-9537-4F19-ADD0-5F2CE9F5DA96}"/>
            </c:ext>
          </c:extLst>
        </c:ser>
        <c:ser>
          <c:idx val="11"/>
          <c:order val="4"/>
          <c:tx>
            <c:v>Rational</c:v>
          </c:tx>
          <c:spPr>
            <a:ln w="19050" cap="rnd">
              <a:noFill/>
              <a:round/>
            </a:ln>
            <a:effectLst/>
          </c:spPr>
          <c:marker>
            <c:symbol val="square"/>
            <c:size val="18"/>
            <c:spPr>
              <a:solidFill>
                <a:srgbClr val="FF0000"/>
              </a:solidFill>
              <a:ln w="6350">
                <a:solidFill>
                  <a:sysClr val="windowText" lastClr="000000"/>
                </a:solidFill>
              </a:ln>
              <a:effectLst/>
            </c:spPr>
          </c:marker>
          <c:xVal>
            <c:numRef>
              <c:f>OldData_2_3rd_CombiE!$J$5:$J$6</c:f>
              <c:numCache>
                <c:formatCode>General</c:formatCode>
                <c:ptCount val="2"/>
                <c:pt idx="0">
                  <c:v>4</c:v>
                </c:pt>
                <c:pt idx="1">
                  <c:v>4</c:v>
                </c:pt>
              </c:numCache>
            </c:numRef>
          </c:xVal>
          <c:yVal>
            <c:numRef>
              <c:f>OldData_2_3rd_CombiE!$H$5:$H$6</c:f>
              <c:numCache>
                <c:formatCode>General</c:formatCode>
                <c:ptCount val="2"/>
                <c:pt idx="1">
                  <c:v>52</c:v>
                </c:pt>
              </c:numCache>
            </c:numRef>
          </c:yVal>
          <c:smooth val="0"/>
          <c:extLst>
            <c:ext xmlns:c16="http://schemas.microsoft.com/office/drawing/2014/chart" uri="{C3380CC4-5D6E-409C-BE32-E72D297353CC}">
              <c16:uniqueId val="{00000007-9537-4F19-ADD0-5F2CE9F5DA96}"/>
            </c:ext>
          </c:extLst>
        </c:ser>
        <c:ser>
          <c:idx val="12"/>
          <c:order val="5"/>
          <c:tx>
            <c:v>Unox</c:v>
          </c:tx>
          <c:spPr>
            <a:ln w="19050" cap="rnd">
              <a:noFill/>
              <a:round/>
            </a:ln>
            <a:effectLst/>
          </c:spPr>
          <c:marker>
            <c:symbol val="circle"/>
            <c:size val="16"/>
            <c:spPr>
              <a:solidFill>
                <a:srgbClr val="FFC000"/>
              </a:solidFill>
              <a:ln w="6350">
                <a:solidFill>
                  <a:sysClr val="windowText" lastClr="000000"/>
                </a:solidFill>
              </a:ln>
              <a:effectLst/>
            </c:spPr>
          </c:marker>
          <c:xVal>
            <c:numRef>
              <c:f>OldData_2_3rd_CombiE!$J$7</c:f>
              <c:numCache>
                <c:formatCode>General</c:formatCode>
                <c:ptCount val="1"/>
                <c:pt idx="0">
                  <c:v>5</c:v>
                </c:pt>
              </c:numCache>
            </c:numRef>
          </c:xVal>
          <c:yVal>
            <c:numRef>
              <c:f>OldData_2_3rd_CombiE!$H$7</c:f>
              <c:numCache>
                <c:formatCode>0.0</c:formatCode>
                <c:ptCount val="1"/>
                <c:pt idx="0">
                  <c:v>51.366666666666703</c:v>
                </c:pt>
              </c:numCache>
            </c:numRef>
          </c:yVal>
          <c:smooth val="0"/>
          <c:extLst>
            <c:ext xmlns:c16="http://schemas.microsoft.com/office/drawing/2014/chart" uri="{C3380CC4-5D6E-409C-BE32-E72D297353CC}">
              <c16:uniqueId val="{00000008-9537-4F19-ADD0-5F2CE9F5DA96}"/>
            </c:ext>
          </c:extLst>
        </c:ser>
        <c:dLbls>
          <c:showLegendKey val="0"/>
          <c:showVal val="0"/>
          <c:showCatName val="0"/>
          <c:showSerName val="0"/>
          <c:showPercent val="0"/>
          <c:showBubbleSize val="0"/>
        </c:dLbls>
        <c:axId val="1339364527"/>
        <c:axId val="1486491071"/>
        <c:extLst>
          <c:ext xmlns:c15="http://schemas.microsoft.com/office/drawing/2012/chart" uri="{02D57815-91ED-43cb-92C2-25804820EDAC}">
            <c15:filteredScatterSeries>
              <c15:ser>
                <c:idx val="0"/>
                <c:order val="1"/>
                <c:tx>
                  <c:v>2/3 pans</c:v>
                </c:tx>
                <c:spPr>
                  <a:ln w="19050" cap="rnd">
                    <a:noFill/>
                    <a:round/>
                  </a:ln>
                  <a:effectLst/>
                </c:spPr>
                <c:marker>
                  <c:symbol val="circle"/>
                  <c:size val="5"/>
                  <c:spPr>
                    <a:solidFill>
                      <a:schemeClr val="accent1"/>
                    </a:solidFill>
                    <a:ln w="9525">
                      <a:solidFill>
                        <a:schemeClr val="accent1"/>
                      </a:solidFill>
                    </a:ln>
                    <a:effectLst/>
                  </c:spPr>
                </c:marker>
                <c:xVal>
                  <c:numRef>
                    <c:extLst>
                      <c:ext uri="{02D57815-91ED-43cb-92C2-25804820EDAC}">
                        <c15:formulaRef>
                          <c15:sqref>OldData_2_3rd_CombiE!$J$2:$J$8</c15:sqref>
                        </c15:formulaRef>
                      </c:ext>
                    </c:extLst>
                    <c:numCache>
                      <c:formatCode>General</c:formatCode>
                      <c:ptCount val="7"/>
                      <c:pt idx="0">
                        <c:v>4</c:v>
                      </c:pt>
                      <c:pt idx="1">
                        <c:v>4</c:v>
                      </c:pt>
                      <c:pt idx="2">
                        <c:v>4</c:v>
                      </c:pt>
                      <c:pt idx="3">
                        <c:v>4</c:v>
                      </c:pt>
                      <c:pt idx="4">
                        <c:v>4</c:v>
                      </c:pt>
                      <c:pt idx="5">
                        <c:v>5</c:v>
                      </c:pt>
                    </c:numCache>
                  </c:numRef>
                </c:xVal>
                <c:yVal>
                  <c:numRef>
                    <c:extLst>
                      <c:ext uri="{02D57815-91ED-43cb-92C2-25804820EDAC}">
                        <c15:formulaRef>
                          <c15:sqref>OldData_2_3rd_CombiE!$F$2:$F$8</c15:sqref>
                        </c15:formulaRef>
                      </c:ext>
                    </c:extLst>
                    <c:numCache>
                      <c:formatCode>General</c:formatCode>
                      <c:ptCount val="7"/>
                      <c:pt idx="0">
                        <c:v>3.08</c:v>
                      </c:pt>
                      <c:pt idx="1">
                        <c:v>4.9749999999999996</c:v>
                      </c:pt>
                      <c:pt idx="2">
                        <c:v>1.33</c:v>
                      </c:pt>
                      <c:pt idx="3">
                        <c:v>0.54</c:v>
                      </c:pt>
                      <c:pt idx="4">
                        <c:v>0.51</c:v>
                      </c:pt>
                      <c:pt idx="5">
                        <c:v>2.86</c:v>
                      </c:pt>
                    </c:numCache>
                  </c:numRef>
                </c:yVal>
                <c:smooth val="0"/>
                <c:extLst>
                  <c:ext xmlns:c16="http://schemas.microsoft.com/office/drawing/2014/chart" uri="{C3380CC4-5D6E-409C-BE32-E72D297353CC}">
                    <c16:uniqueId val="{0000000C-9537-4F19-ADD0-5F2CE9F5DA96}"/>
                  </c:ext>
                </c:extLst>
              </c15:ser>
            </c15:filteredScatterSeries>
            <c15:filteredScatterSeries>
              <c15:ser>
                <c:idx val="6"/>
                <c:order val="6"/>
                <c:tx>
                  <c:v>Masked</c:v>
                </c:tx>
                <c:spPr>
                  <a:ln w="19050" cap="rnd">
                    <a:solidFill>
                      <a:schemeClr val="accent1">
                        <a:lumMod val="60000"/>
                      </a:schemeClr>
                    </a:solidFill>
                    <a:round/>
                  </a:ln>
                  <a:effectLst/>
                </c:spPr>
                <c:marker>
                  <c:symbol val="circle"/>
                  <c:size val="5"/>
                  <c:spPr>
                    <a:solidFill>
                      <a:srgbClr val="A5A5A5"/>
                    </a:solidFill>
                    <a:ln w="9525">
                      <a:noFill/>
                    </a:ln>
                    <a:effectLst/>
                  </c:spPr>
                </c:marker>
                <c:xVal>
                  <c:numRef>
                    <c:extLst xmlns:c15="http://schemas.microsoft.com/office/drawing/2012/chart">
                      <c:ext xmlns:c15="http://schemas.microsoft.com/office/drawing/2012/chart" uri="{02D57815-91ED-43cb-92C2-25804820EDAC}">
                        <c15:formulaRef>
                          <c15:sqref>OldData_2_3rd_CombiE!$J$2:$J$3</c15:sqref>
                        </c15:formulaRef>
                      </c:ext>
                    </c:extLst>
                    <c:numCache>
                      <c:formatCode>General</c:formatCode>
                      <c:ptCount val="2"/>
                      <c:pt idx="0">
                        <c:v>4</c:v>
                      </c:pt>
                      <c:pt idx="1">
                        <c:v>4</c:v>
                      </c:pt>
                    </c:numCache>
                  </c:numRef>
                </c:xVal>
                <c:yVal>
                  <c:numRef>
                    <c:extLst xmlns:c15="http://schemas.microsoft.com/office/drawing/2012/chart">
                      <c:ext xmlns:c15="http://schemas.microsoft.com/office/drawing/2012/chart" uri="{02D57815-91ED-43cb-92C2-25804820EDAC}">
                        <c15:formulaRef>
                          <c15:sqref>OldData_2_3rd_CombiE!$H$2:$H$3</c15:sqref>
                        </c15:formulaRef>
                      </c:ext>
                    </c:extLst>
                    <c:numCache>
                      <c:formatCode>General</c:formatCode>
                      <c:ptCount val="2"/>
                    </c:numCache>
                  </c:numRef>
                </c:yVal>
                <c:smooth val="0"/>
                <c:extLst xmlns:c15="http://schemas.microsoft.com/office/drawing/2012/chart">
                  <c:ext xmlns:c16="http://schemas.microsoft.com/office/drawing/2014/chart" uri="{C3380CC4-5D6E-409C-BE32-E72D297353CC}">
                    <c16:uniqueId val="{0000000F-9537-4F19-ADD0-5F2CE9F5DA96}"/>
                  </c:ext>
                </c:extLst>
              </c15:ser>
            </c15:filteredScatterSeries>
          </c:ext>
        </c:extLst>
      </c:scatterChart>
      <c:valAx>
        <c:axId val="1339364527"/>
        <c:scaling>
          <c:orientation val="minMax"/>
          <c:max val="6"/>
          <c:min val="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Pan Capacity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6491071"/>
        <c:crosses val="autoZero"/>
        <c:crossBetween val="midCat"/>
        <c:majorUnit val="1"/>
      </c:valAx>
      <c:valAx>
        <c:axId val="1486491071"/>
        <c:scaling>
          <c:orientation val="minMax"/>
          <c:max val="70"/>
          <c:min val="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Steam Mode Efficiency,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9364527"/>
        <c:crosses val="autoZero"/>
        <c:crossBetween val="midCat"/>
      </c:valAx>
      <c:spPr>
        <a:noFill/>
        <a:ln>
          <a:noFill/>
        </a:ln>
        <a:effectLst/>
      </c:spPr>
    </c:plotArea>
    <c:legend>
      <c:legendPos val="r"/>
      <c:layout>
        <c:manualLayout>
          <c:xMode val="edge"/>
          <c:yMode val="edge"/>
          <c:x val="0.82703156007938028"/>
          <c:y val="0"/>
          <c:w val="0.17093591959541643"/>
          <c:h val="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Convection Mode Efficiency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6431246399078158E-2"/>
          <c:y val="0.13475022706630335"/>
          <c:w val="0.70767348441200961"/>
          <c:h val="0.70392985617942172"/>
        </c:manualLayout>
      </c:layout>
      <c:scatterChart>
        <c:scatterStyle val="lineMarker"/>
        <c:varyColors val="0"/>
        <c:ser>
          <c:idx val="2"/>
          <c:order val="0"/>
          <c:tx>
            <c:v>Potential Idle Max</c:v>
          </c:tx>
          <c:spPr>
            <a:ln w="19050" cap="rnd">
              <a:solidFill>
                <a:schemeClr val="accent3"/>
              </a:solidFill>
              <a:round/>
            </a:ln>
            <a:effectLst/>
          </c:spPr>
          <c:marker>
            <c:symbol val="none"/>
          </c:marker>
          <c:dPt>
            <c:idx val="1"/>
            <c:marker>
              <c:symbol val="none"/>
            </c:marker>
            <c:bubble3D val="0"/>
            <c:spPr>
              <a:ln w="41275" cap="rnd">
                <a:solidFill>
                  <a:srgbClr val="70AD47">
                    <a:lumMod val="60000"/>
                    <a:lumOff val="40000"/>
                  </a:srgbClr>
                </a:solidFill>
                <a:round/>
              </a:ln>
              <a:effectLst/>
            </c:spPr>
            <c:extLst>
              <c:ext xmlns:c16="http://schemas.microsoft.com/office/drawing/2014/chart" uri="{C3380CC4-5D6E-409C-BE32-E72D297353CC}">
                <c16:uniqueId val="{00000001-37C4-4E77-AE2D-16A5BE33DBF9}"/>
              </c:ext>
            </c:extLst>
          </c:dPt>
          <c:xVal>
            <c:numRef>
              <c:f>OldGraph_2_3rd_CombiE!$AI$27:$AI$28</c:f>
              <c:numCache>
                <c:formatCode>0</c:formatCode>
                <c:ptCount val="2"/>
                <c:pt idx="0">
                  <c:v>0</c:v>
                </c:pt>
                <c:pt idx="1">
                  <c:v>6</c:v>
                </c:pt>
              </c:numCache>
            </c:numRef>
          </c:xVal>
          <c:yVal>
            <c:numRef>
              <c:f>OldGraph_2_3rd_CombiE!$AJ$27:$AJ$28</c:f>
              <c:numCache>
                <c:formatCode>0</c:formatCode>
                <c:ptCount val="2"/>
                <c:pt idx="0">
                  <c:v>70</c:v>
                </c:pt>
                <c:pt idx="1">
                  <c:v>70</c:v>
                </c:pt>
              </c:numCache>
            </c:numRef>
          </c:yVal>
          <c:smooth val="0"/>
          <c:extLst>
            <c:ext xmlns:c16="http://schemas.microsoft.com/office/drawing/2014/chart" uri="{C3380CC4-5D6E-409C-BE32-E72D297353CC}">
              <c16:uniqueId val="{00000002-37C4-4E77-AE2D-16A5BE33DBF9}"/>
            </c:ext>
          </c:extLst>
        </c:ser>
        <c:ser>
          <c:idx val="5"/>
          <c:order val="2"/>
          <c:tx>
            <c:v>Baseline for other Combis</c:v>
          </c:tx>
          <c:spPr>
            <a:ln w="19050" cap="rnd">
              <a:solidFill>
                <a:sysClr val="windowText" lastClr="000000"/>
              </a:solidFill>
              <a:prstDash val="dash"/>
              <a:round/>
            </a:ln>
            <a:effectLst/>
          </c:spPr>
          <c:marker>
            <c:symbol val="circle"/>
            <c:size val="3"/>
            <c:spPr>
              <a:solidFill>
                <a:schemeClr val="tx1"/>
              </a:solidFill>
              <a:ln w="9525">
                <a:noFill/>
              </a:ln>
              <a:effectLst/>
            </c:spPr>
          </c:marker>
          <c:xVal>
            <c:numRef>
              <c:f>OldGraph_2_3rd_CombiE!$AG$33:$AG$34</c:f>
              <c:numCache>
                <c:formatCode>General</c:formatCode>
                <c:ptCount val="2"/>
                <c:pt idx="0">
                  <c:v>0</c:v>
                </c:pt>
                <c:pt idx="1">
                  <c:v>40</c:v>
                </c:pt>
              </c:numCache>
            </c:numRef>
          </c:xVal>
          <c:yVal>
            <c:numRef>
              <c:f>OldGraph_2_3rd_CombiE!$AH$33:$AH$34</c:f>
              <c:numCache>
                <c:formatCode>General</c:formatCode>
                <c:ptCount val="2"/>
                <c:pt idx="0">
                  <c:v>76</c:v>
                </c:pt>
                <c:pt idx="1">
                  <c:v>76</c:v>
                </c:pt>
              </c:numCache>
            </c:numRef>
          </c:yVal>
          <c:smooth val="0"/>
          <c:extLst>
            <c:ext xmlns:c16="http://schemas.microsoft.com/office/drawing/2014/chart" uri="{C3380CC4-5D6E-409C-BE32-E72D297353CC}">
              <c16:uniqueId val="{00000003-37C4-4E77-AE2D-16A5BE33DBF9}"/>
            </c:ext>
          </c:extLst>
        </c:ser>
        <c:ser>
          <c:idx val="8"/>
          <c:order val="3"/>
          <c:tx>
            <c:v>Eloma</c:v>
          </c:tx>
          <c:spPr>
            <a:ln w="19050" cap="rnd">
              <a:noFill/>
              <a:round/>
            </a:ln>
            <a:effectLst/>
          </c:spPr>
          <c:marker>
            <c:symbol val="circle"/>
            <c:size val="18"/>
            <c:spPr>
              <a:solidFill>
                <a:srgbClr val="00B050"/>
              </a:solidFill>
              <a:ln w="6350">
                <a:solidFill>
                  <a:sysClr val="windowText" lastClr="000000"/>
                </a:solidFill>
              </a:ln>
              <a:effectLst/>
            </c:spPr>
          </c:marker>
          <c:dPt>
            <c:idx val="0"/>
            <c:marker>
              <c:symbol val="circle"/>
              <c:size val="18"/>
              <c:spPr>
                <a:solidFill>
                  <a:srgbClr val="00B050"/>
                </a:solidFill>
                <a:ln w="6350">
                  <a:solidFill>
                    <a:sysClr val="windowText" lastClr="000000"/>
                  </a:solidFill>
                </a:ln>
                <a:effectLst/>
              </c:spPr>
            </c:marker>
            <c:bubble3D val="0"/>
            <c:extLst>
              <c:ext xmlns:c16="http://schemas.microsoft.com/office/drawing/2014/chart" uri="{C3380CC4-5D6E-409C-BE32-E72D297353CC}">
                <c16:uniqueId val="{00000002-EC36-43DF-941F-AF95353DF4EB}"/>
              </c:ext>
            </c:extLst>
          </c:dPt>
          <c:xVal>
            <c:numRef>
              <c:f>OldData_2_3rd_CombiE!$J$4</c:f>
              <c:numCache>
                <c:formatCode>General</c:formatCode>
                <c:ptCount val="1"/>
                <c:pt idx="0">
                  <c:v>4</c:v>
                </c:pt>
              </c:numCache>
            </c:numRef>
          </c:xVal>
          <c:yVal>
            <c:numRef>
              <c:f>OldData_2_3rd_CombiE!$I$4</c:f>
              <c:numCache>
                <c:formatCode>General</c:formatCode>
                <c:ptCount val="1"/>
                <c:pt idx="0">
                  <c:v>60</c:v>
                </c:pt>
              </c:numCache>
            </c:numRef>
          </c:yVal>
          <c:smooth val="0"/>
          <c:extLst>
            <c:ext xmlns:c16="http://schemas.microsoft.com/office/drawing/2014/chart" uri="{C3380CC4-5D6E-409C-BE32-E72D297353CC}">
              <c16:uniqueId val="{00000006-37C4-4E77-AE2D-16A5BE33DBF9}"/>
            </c:ext>
          </c:extLst>
        </c:ser>
        <c:ser>
          <c:idx val="11"/>
          <c:order val="4"/>
          <c:tx>
            <c:v>Rational</c:v>
          </c:tx>
          <c:spPr>
            <a:ln w="19050" cap="rnd">
              <a:noFill/>
              <a:round/>
            </a:ln>
            <a:effectLst/>
          </c:spPr>
          <c:marker>
            <c:symbol val="diamond"/>
            <c:size val="24"/>
            <c:spPr>
              <a:solidFill>
                <a:srgbClr val="FF0000"/>
              </a:solidFill>
              <a:ln w="6350">
                <a:solidFill>
                  <a:sysClr val="windowText" lastClr="000000"/>
                </a:solidFill>
              </a:ln>
              <a:effectLst/>
            </c:spPr>
          </c:marker>
          <c:xVal>
            <c:numRef>
              <c:f>OldData_2_3rd_CombiE!$J$5:$J$6</c:f>
              <c:numCache>
                <c:formatCode>General</c:formatCode>
                <c:ptCount val="2"/>
                <c:pt idx="0">
                  <c:v>4</c:v>
                </c:pt>
                <c:pt idx="1">
                  <c:v>4</c:v>
                </c:pt>
              </c:numCache>
            </c:numRef>
          </c:xVal>
          <c:yVal>
            <c:numRef>
              <c:f>OldData_2_3rd_CombiE!$I$5:$I$6</c:f>
              <c:numCache>
                <c:formatCode>General</c:formatCode>
                <c:ptCount val="2"/>
                <c:pt idx="1">
                  <c:v>75</c:v>
                </c:pt>
              </c:numCache>
            </c:numRef>
          </c:yVal>
          <c:smooth val="0"/>
          <c:extLst>
            <c:ext xmlns:c16="http://schemas.microsoft.com/office/drawing/2014/chart" uri="{C3380CC4-5D6E-409C-BE32-E72D297353CC}">
              <c16:uniqueId val="{00000009-37C4-4E77-AE2D-16A5BE33DBF9}"/>
            </c:ext>
          </c:extLst>
        </c:ser>
        <c:ser>
          <c:idx val="12"/>
          <c:order val="5"/>
          <c:tx>
            <c:v>Unox</c:v>
          </c:tx>
          <c:spPr>
            <a:ln w="19050" cap="rnd">
              <a:noFill/>
              <a:round/>
            </a:ln>
            <a:effectLst/>
          </c:spPr>
          <c:marker>
            <c:symbol val="circle"/>
            <c:size val="16"/>
            <c:spPr>
              <a:solidFill>
                <a:srgbClr val="FFC000"/>
              </a:solidFill>
              <a:ln w="6350">
                <a:solidFill>
                  <a:sysClr val="windowText" lastClr="000000"/>
                </a:solidFill>
              </a:ln>
              <a:effectLst/>
            </c:spPr>
          </c:marker>
          <c:xVal>
            <c:numRef>
              <c:f>OldData_2_3rd_CombiE!$J$7</c:f>
              <c:numCache>
                <c:formatCode>General</c:formatCode>
                <c:ptCount val="1"/>
                <c:pt idx="0">
                  <c:v>5</c:v>
                </c:pt>
              </c:numCache>
            </c:numRef>
          </c:xVal>
          <c:yVal>
            <c:numRef>
              <c:f>OldData_2_3rd_CombiE!$I$7</c:f>
              <c:numCache>
                <c:formatCode>General</c:formatCode>
                <c:ptCount val="1"/>
                <c:pt idx="0">
                  <c:v>70.899999999999991</c:v>
                </c:pt>
              </c:numCache>
            </c:numRef>
          </c:yVal>
          <c:smooth val="0"/>
          <c:extLst>
            <c:ext xmlns:c16="http://schemas.microsoft.com/office/drawing/2014/chart" uri="{C3380CC4-5D6E-409C-BE32-E72D297353CC}">
              <c16:uniqueId val="{0000000A-37C4-4E77-AE2D-16A5BE33DBF9}"/>
            </c:ext>
          </c:extLst>
        </c:ser>
        <c:dLbls>
          <c:showLegendKey val="0"/>
          <c:showVal val="0"/>
          <c:showCatName val="0"/>
          <c:showSerName val="0"/>
          <c:showPercent val="0"/>
          <c:showBubbleSize val="0"/>
        </c:dLbls>
        <c:axId val="1339364527"/>
        <c:axId val="1486491071"/>
        <c:extLst>
          <c:ext xmlns:c15="http://schemas.microsoft.com/office/drawing/2012/chart" uri="{02D57815-91ED-43cb-92C2-25804820EDAC}">
            <c15:filteredScatterSeries>
              <c15:ser>
                <c:idx val="0"/>
                <c:order val="1"/>
                <c:tx>
                  <c:v>2/3 pans</c:v>
                </c:tx>
                <c:spPr>
                  <a:ln w="19050" cap="rnd">
                    <a:noFill/>
                    <a:round/>
                  </a:ln>
                  <a:effectLst/>
                </c:spPr>
                <c:marker>
                  <c:symbol val="circle"/>
                  <c:size val="5"/>
                  <c:spPr>
                    <a:solidFill>
                      <a:schemeClr val="accent1"/>
                    </a:solidFill>
                    <a:ln w="9525">
                      <a:solidFill>
                        <a:schemeClr val="accent1"/>
                      </a:solidFill>
                    </a:ln>
                    <a:effectLst/>
                  </c:spPr>
                </c:marker>
                <c:xVal>
                  <c:numRef>
                    <c:extLst>
                      <c:ext uri="{02D57815-91ED-43cb-92C2-25804820EDAC}">
                        <c15:formulaRef>
                          <c15:sqref>OldData_2_3rd_CombiE!$J$2:$J$8</c15:sqref>
                        </c15:formulaRef>
                      </c:ext>
                    </c:extLst>
                    <c:numCache>
                      <c:formatCode>General</c:formatCode>
                      <c:ptCount val="7"/>
                      <c:pt idx="0">
                        <c:v>4</c:v>
                      </c:pt>
                      <c:pt idx="1">
                        <c:v>4</c:v>
                      </c:pt>
                      <c:pt idx="2">
                        <c:v>4</c:v>
                      </c:pt>
                      <c:pt idx="3">
                        <c:v>4</c:v>
                      </c:pt>
                      <c:pt idx="4">
                        <c:v>4</c:v>
                      </c:pt>
                      <c:pt idx="5">
                        <c:v>5</c:v>
                      </c:pt>
                    </c:numCache>
                  </c:numRef>
                </c:xVal>
                <c:yVal>
                  <c:numRef>
                    <c:extLst>
                      <c:ext uri="{02D57815-91ED-43cb-92C2-25804820EDAC}">
                        <c15:formulaRef>
                          <c15:sqref>OldData_2_3rd_CombiE!$F$2:$F$8</c15:sqref>
                        </c15:formulaRef>
                      </c:ext>
                    </c:extLst>
                    <c:numCache>
                      <c:formatCode>General</c:formatCode>
                      <c:ptCount val="7"/>
                      <c:pt idx="0">
                        <c:v>3.08</c:v>
                      </c:pt>
                      <c:pt idx="1">
                        <c:v>4.9749999999999996</c:v>
                      </c:pt>
                      <c:pt idx="2">
                        <c:v>1.33</c:v>
                      </c:pt>
                      <c:pt idx="3">
                        <c:v>0.54</c:v>
                      </c:pt>
                      <c:pt idx="4">
                        <c:v>0.51</c:v>
                      </c:pt>
                      <c:pt idx="5">
                        <c:v>2.86</c:v>
                      </c:pt>
                    </c:numCache>
                  </c:numRef>
                </c:yVal>
                <c:smooth val="0"/>
                <c:extLst>
                  <c:ext xmlns:c16="http://schemas.microsoft.com/office/drawing/2014/chart" uri="{C3380CC4-5D6E-409C-BE32-E72D297353CC}">
                    <c16:uniqueId val="{0000000E-37C4-4E77-AE2D-16A5BE33DBF9}"/>
                  </c:ext>
                </c:extLst>
              </c15:ser>
            </c15:filteredScatterSeries>
            <c15:filteredScatterSeries>
              <c15:ser>
                <c:idx val="6"/>
                <c:order val="6"/>
                <c:tx>
                  <c:v>Masked</c:v>
                </c:tx>
                <c:spPr>
                  <a:ln w="19050" cap="rnd">
                    <a:solidFill>
                      <a:schemeClr val="accent1">
                        <a:lumMod val="60000"/>
                      </a:schemeClr>
                    </a:solidFill>
                    <a:round/>
                  </a:ln>
                  <a:effectLst/>
                </c:spPr>
                <c:marker>
                  <c:symbol val="circle"/>
                  <c:size val="5"/>
                  <c:spPr>
                    <a:solidFill>
                      <a:srgbClr val="A5A5A5"/>
                    </a:solidFill>
                    <a:ln w="9525">
                      <a:noFill/>
                    </a:ln>
                    <a:effectLst/>
                  </c:spPr>
                </c:marker>
                <c:xVal>
                  <c:numRef>
                    <c:extLst xmlns:c15="http://schemas.microsoft.com/office/drawing/2012/chart">
                      <c:ext xmlns:c15="http://schemas.microsoft.com/office/drawing/2012/chart" uri="{02D57815-91ED-43cb-92C2-25804820EDAC}">
                        <c15:formulaRef>
                          <c15:sqref>OldData_2_3rd_CombiE!$J$2:$J$3</c15:sqref>
                        </c15:formulaRef>
                      </c:ext>
                    </c:extLst>
                    <c:numCache>
                      <c:formatCode>General</c:formatCode>
                      <c:ptCount val="2"/>
                      <c:pt idx="0">
                        <c:v>4</c:v>
                      </c:pt>
                      <c:pt idx="1">
                        <c:v>4</c:v>
                      </c:pt>
                    </c:numCache>
                  </c:numRef>
                </c:xVal>
                <c:yVal>
                  <c:numRef>
                    <c:extLst xmlns:c15="http://schemas.microsoft.com/office/drawing/2012/chart">
                      <c:ext xmlns:c15="http://schemas.microsoft.com/office/drawing/2012/chart" uri="{02D57815-91ED-43cb-92C2-25804820EDAC}">
                        <c15:formulaRef>
                          <c15:sqref>OldData_2_3rd_CombiE!$I$2:$I$3</c15:sqref>
                        </c15:formulaRef>
                      </c:ext>
                    </c:extLst>
                    <c:numCache>
                      <c:formatCode>General</c:formatCode>
                      <c:ptCount val="2"/>
                    </c:numCache>
                  </c:numRef>
                </c:yVal>
                <c:smooth val="0"/>
                <c:extLst xmlns:c15="http://schemas.microsoft.com/office/drawing/2012/chart">
                  <c:ext xmlns:c16="http://schemas.microsoft.com/office/drawing/2014/chart" uri="{C3380CC4-5D6E-409C-BE32-E72D297353CC}">
                    <c16:uniqueId val="{00000011-37C4-4E77-AE2D-16A5BE33DBF9}"/>
                  </c:ext>
                </c:extLst>
              </c15:ser>
            </c15:filteredScatterSeries>
          </c:ext>
        </c:extLst>
      </c:scatterChart>
      <c:valAx>
        <c:axId val="1339364527"/>
        <c:scaling>
          <c:orientation val="minMax"/>
          <c:max val="6"/>
          <c:min val="2"/>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Pan Capacity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6491071"/>
        <c:crosses val="autoZero"/>
        <c:crossBetween val="midCat"/>
        <c:majorUnit val="1"/>
      </c:valAx>
      <c:valAx>
        <c:axId val="1486491071"/>
        <c:scaling>
          <c:orientation val="minMax"/>
          <c:max val="85"/>
          <c:min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Convection Mode Efficiency,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9364527"/>
        <c:crosses val="autoZero"/>
        <c:crossBetween val="midCat"/>
      </c:valAx>
      <c:spPr>
        <a:noFill/>
        <a:ln>
          <a:noFill/>
        </a:ln>
        <a:effectLst/>
      </c:spPr>
    </c:plotArea>
    <c:legend>
      <c:legendPos val="r"/>
      <c:layout>
        <c:manualLayout>
          <c:xMode val="edge"/>
          <c:yMode val="edge"/>
          <c:x val="0.82703156007938028"/>
          <c:y val="0"/>
          <c:w val="0.17093591959541643"/>
          <c:h val="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Water Consumption Criteria- Electric and Gas Combis: data from ESTAR QPL, gallons</a:t>
            </a:r>
            <a:r>
              <a:rPr lang="en-US" baseline="0"/>
              <a:t> per pan assumption, convection mode only.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0022267229463021E-2"/>
          <c:y val="0.22530736289542755"/>
          <c:w val="0.88045363354451145"/>
          <c:h val="0.68579407837178252"/>
        </c:manualLayout>
      </c:layout>
      <c:scatterChart>
        <c:scatterStyle val="lineMarker"/>
        <c:varyColors val="0"/>
        <c:ser>
          <c:idx val="0"/>
          <c:order val="0"/>
          <c:tx>
            <c:strRef>
              <c:f>#REF!</c:f>
              <c:strCache>
                <c:ptCount val="1"/>
                <c:pt idx="0">
                  <c:v>#REF!</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#REF!</c:f>
            </c:numRef>
          </c:xVal>
          <c:yVal>
            <c:numRef>
              <c:f>#REF!</c:f>
              <c:numCache>
                <c:formatCode>General</c:formatCode>
                <c:ptCount val="1"/>
                <c:pt idx="0">
                  <c:v>1</c:v>
                </c:pt>
              </c:numCache>
            </c:numRef>
          </c:yVal>
          <c:smooth val="0"/>
          <c:extLst>
            <c:ext xmlns:c16="http://schemas.microsoft.com/office/drawing/2014/chart" uri="{C3380CC4-5D6E-409C-BE32-E72D297353CC}">
              <c16:uniqueId val="{00000000-F6DC-4221-A655-9624D371D80B}"/>
            </c:ext>
          </c:extLst>
        </c:ser>
        <c:ser>
          <c:idx val="1"/>
          <c:order val="1"/>
          <c:tx>
            <c:v>Gas Combi ENERGY STAR QPL</c:v>
          </c:tx>
          <c:spPr>
            <a:ln w="25400" cap="rnd">
              <a:noFill/>
              <a:round/>
            </a:ln>
            <a:effectLst/>
          </c:spPr>
          <c:marker>
            <c:symbol val="circle"/>
            <c:size val="9"/>
            <c:spPr>
              <a:solidFill>
                <a:schemeClr val="accent2"/>
              </a:solidFill>
              <a:ln w="9525">
                <a:solidFill>
                  <a:sysClr val="windowText" lastClr="000000">
                    <a:lumMod val="75000"/>
                    <a:lumOff val="25000"/>
                  </a:sysClr>
                </a:solidFill>
              </a:ln>
              <a:effectLst/>
            </c:spPr>
          </c:marker>
          <c:xVal>
            <c:numRef>
              <c:f>'12.Water Consump. Charts_Data'!$K$115:$K$158</c:f>
              <c:numCache>
                <c:formatCode>#,##0_);\(#,##0\)</c:formatCode>
                <c:ptCount val="44"/>
                <c:pt idx="0">
                  <c:v>16</c:v>
                </c:pt>
                <c:pt idx="1">
                  <c:v>14</c:v>
                </c:pt>
                <c:pt idx="2">
                  <c:v>14</c:v>
                </c:pt>
                <c:pt idx="3">
                  <c:v>6</c:v>
                </c:pt>
                <c:pt idx="4">
                  <c:v>10</c:v>
                </c:pt>
                <c:pt idx="5">
                  <c:v>20</c:v>
                </c:pt>
                <c:pt idx="6">
                  <c:v>20</c:v>
                </c:pt>
                <c:pt idx="7">
                  <c:v>6</c:v>
                </c:pt>
                <c:pt idx="8">
                  <c:v>6</c:v>
                </c:pt>
                <c:pt idx="9">
                  <c:v>6</c:v>
                </c:pt>
                <c:pt idx="10">
                  <c:v>10</c:v>
                </c:pt>
                <c:pt idx="11">
                  <c:v>12</c:v>
                </c:pt>
                <c:pt idx="12">
                  <c:v>20</c:v>
                </c:pt>
                <c:pt idx="13">
                  <c:v>20</c:v>
                </c:pt>
                <c:pt idx="14">
                  <c:v>40</c:v>
                </c:pt>
                <c:pt idx="15">
                  <c:v>7</c:v>
                </c:pt>
                <c:pt idx="16">
                  <c:v>10</c:v>
                </c:pt>
                <c:pt idx="17">
                  <c:v>10</c:v>
                </c:pt>
                <c:pt idx="18">
                  <c:v>12</c:v>
                </c:pt>
                <c:pt idx="19">
                  <c:v>20</c:v>
                </c:pt>
                <c:pt idx="20">
                  <c:v>20</c:v>
                </c:pt>
                <c:pt idx="21">
                  <c:v>14</c:v>
                </c:pt>
                <c:pt idx="22">
                  <c:v>40</c:v>
                </c:pt>
                <c:pt idx="23">
                  <c:v>16</c:v>
                </c:pt>
                <c:pt idx="24">
                  <c:v>24</c:v>
                </c:pt>
                <c:pt idx="25">
                  <c:v>40</c:v>
                </c:pt>
                <c:pt idx="26">
                  <c:v>22</c:v>
                </c:pt>
                <c:pt idx="27">
                  <c:v>40</c:v>
                </c:pt>
                <c:pt idx="28">
                  <c:v>6</c:v>
                </c:pt>
                <c:pt idx="29">
                  <c:v>10</c:v>
                </c:pt>
                <c:pt idx="30">
                  <c:v>7</c:v>
                </c:pt>
                <c:pt idx="31">
                  <c:v>7</c:v>
                </c:pt>
                <c:pt idx="32">
                  <c:v>10</c:v>
                </c:pt>
                <c:pt idx="33">
                  <c:v>10</c:v>
                </c:pt>
                <c:pt idx="34">
                  <c:v>14</c:v>
                </c:pt>
                <c:pt idx="35">
                  <c:v>14</c:v>
                </c:pt>
                <c:pt idx="36">
                  <c:v>20</c:v>
                </c:pt>
                <c:pt idx="37">
                  <c:v>20</c:v>
                </c:pt>
                <c:pt idx="38">
                  <c:v>40</c:v>
                </c:pt>
                <c:pt idx="39">
                  <c:v>40</c:v>
                </c:pt>
                <c:pt idx="40">
                  <c:v>20</c:v>
                </c:pt>
                <c:pt idx="41">
                  <c:v>20</c:v>
                </c:pt>
                <c:pt idx="42">
                  <c:v>20</c:v>
                </c:pt>
                <c:pt idx="43">
                  <c:v>32</c:v>
                </c:pt>
              </c:numCache>
            </c:numRef>
          </c:xVal>
          <c:yVal>
            <c:numRef>
              <c:f>'12.Water Consump. Charts_Data'!$S$115:$S$158</c:f>
              <c:numCache>
                <c:formatCode>0.0</c:formatCode>
                <c:ptCount val="44"/>
                <c:pt idx="0">
                  <c:v>5.3161085450346424E-2</c:v>
                </c:pt>
                <c:pt idx="1">
                  <c:v>0</c:v>
                </c:pt>
                <c:pt idx="2">
                  <c:v>0</c:v>
                </c:pt>
                <c:pt idx="3">
                  <c:v>0</c:v>
                </c:pt>
                <c:pt idx="4">
                  <c:v>0</c:v>
                </c:pt>
                <c:pt idx="5">
                  <c:v>0.3529259451061626</c:v>
                </c:pt>
                <c:pt idx="6">
                  <c:v>0.3529259451061626</c:v>
                </c:pt>
                <c:pt idx="7">
                  <c:v>0</c:v>
                </c:pt>
                <c:pt idx="8">
                  <c:v>0</c:v>
                </c:pt>
                <c:pt idx="9">
                  <c:v>0</c:v>
                </c:pt>
                <c:pt idx="10">
                  <c:v>7.1205357142857138E-3</c:v>
                </c:pt>
                <c:pt idx="11">
                  <c:v>1.6641162968630452E-3</c:v>
                </c:pt>
                <c:pt idx="12">
                  <c:v>1.0125698324022347E-3</c:v>
                </c:pt>
                <c:pt idx="13">
                  <c:v>0</c:v>
                </c:pt>
                <c:pt idx="14">
                  <c:v>1.8909261625935682E-3</c:v>
                </c:pt>
                <c:pt idx="15">
                  <c:v>0</c:v>
                </c:pt>
                <c:pt idx="16">
                  <c:v>0</c:v>
                </c:pt>
                <c:pt idx="17">
                  <c:v>0</c:v>
                </c:pt>
                <c:pt idx="18">
                  <c:v>0</c:v>
                </c:pt>
                <c:pt idx="19">
                  <c:v>0</c:v>
                </c:pt>
                <c:pt idx="20">
                  <c:v>0</c:v>
                </c:pt>
                <c:pt idx="21">
                  <c:v>0.54234297812279464</c:v>
                </c:pt>
                <c:pt idx="22">
                  <c:v>7.2103431128791654E-3</c:v>
                </c:pt>
                <c:pt idx="23">
                  <c:v>0.10034602076124567</c:v>
                </c:pt>
                <c:pt idx="24">
                  <c:v>6.04446503010653E-2</c:v>
                </c:pt>
                <c:pt idx="25">
                  <c:v>4.9079339290549688E-2</c:v>
                </c:pt>
                <c:pt idx="26">
                  <c:v>0</c:v>
                </c:pt>
                <c:pt idx="27">
                  <c:v>6.1157975460122693E-2</c:v>
                </c:pt>
                <c:pt idx="28">
                  <c:v>0</c:v>
                </c:pt>
                <c:pt idx="29">
                  <c:v>0</c:v>
                </c:pt>
                <c:pt idx="30">
                  <c:v>0.29778830963665093</c:v>
                </c:pt>
                <c:pt idx="31">
                  <c:v>0.30155780483947497</c:v>
                </c:pt>
                <c:pt idx="32">
                  <c:v>0</c:v>
                </c:pt>
                <c:pt idx="33">
                  <c:v>0</c:v>
                </c:pt>
                <c:pt idx="34">
                  <c:v>0.20392301998519613</c:v>
                </c:pt>
                <c:pt idx="35">
                  <c:v>0.20392301998519613</c:v>
                </c:pt>
                <c:pt idx="36">
                  <c:v>0.42434210526315785</c:v>
                </c:pt>
                <c:pt idx="37">
                  <c:v>0.42434210526315785</c:v>
                </c:pt>
                <c:pt idx="38">
                  <c:v>0.24136645962732922</c:v>
                </c:pt>
                <c:pt idx="39">
                  <c:v>0.24136645962732922</c:v>
                </c:pt>
                <c:pt idx="40">
                  <c:v>0</c:v>
                </c:pt>
                <c:pt idx="41">
                  <c:v>0</c:v>
                </c:pt>
                <c:pt idx="42">
                  <c:v>0</c:v>
                </c:pt>
                <c:pt idx="43">
                  <c:v>0</c:v>
                </c:pt>
              </c:numCache>
            </c:numRef>
          </c:yVal>
          <c:smooth val="0"/>
          <c:extLst>
            <c:ext xmlns:c16="http://schemas.microsoft.com/office/drawing/2014/chart" uri="{C3380CC4-5D6E-409C-BE32-E72D297353CC}">
              <c16:uniqueId val="{00000001-F6DC-4221-A655-9624D371D80B}"/>
            </c:ext>
          </c:extLst>
        </c:ser>
        <c:ser>
          <c:idx val="2"/>
          <c:order val="2"/>
          <c:tx>
            <c:v>Electri Combis ENERGY STAR QPL</c:v>
          </c:tx>
          <c:spPr>
            <a:ln w="25400" cap="rnd">
              <a:noFill/>
              <a:round/>
            </a:ln>
            <a:effectLst/>
          </c:spPr>
          <c:marker>
            <c:symbol val="circle"/>
            <c:size val="7"/>
            <c:spPr>
              <a:solidFill>
                <a:schemeClr val="accent3"/>
              </a:solidFill>
              <a:ln w="9525">
                <a:solidFill>
                  <a:sysClr val="windowText" lastClr="000000">
                    <a:lumMod val="75000"/>
                    <a:lumOff val="25000"/>
                  </a:sysClr>
                </a:solidFill>
              </a:ln>
              <a:effectLst/>
            </c:spPr>
          </c:marker>
          <c:xVal>
            <c:numRef>
              <c:f>'12.Water Consump. Charts_Data'!$K$27:$K$75</c:f>
              <c:numCache>
                <c:formatCode>#,##0_);\(#,##0\)</c:formatCode>
                <c:ptCount val="49"/>
                <c:pt idx="0">
                  <c:v>14</c:v>
                </c:pt>
                <c:pt idx="1">
                  <c:v>14</c:v>
                </c:pt>
                <c:pt idx="2">
                  <c:v>14</c:v>
                </c:pt>
                <c:pt idx="3">
                  <c:v>20</c:v>
                </c:pt>
                <c:pt idx="4">
                  <c:v>20</c:v>
                </c:pt>
                <c:pt idx="5">
                  <c:v>22</c:v>
                </c:pt>
                <c:pt idx="6">
                  <c:v>24</c:v>
                </c:pt>
                <c:pt idx="7">
                  <c:v>20</c:v>
                </c:pt>
                <c:pt idx="8">
                  <c:v>20</c:v>
                </c:pt>
                <c:pt idx="9">
                  <c:v>6</c:v>
                </c:pt>
                <c:pt idx="10">
                  <c:v>12</c:v>
                </c:pt>
                <c:pt idx="11">
                  <c:v>6</c:v>
                </c:pt>
                <c:pt idx="12">
                  <c:v>20</c:v>
                </c:pt>
                <c:pt idx="13">
                  <c:v>20</c:v>
                </c:pt>
                <c:pt idx="14">
                  <c:v>12</c:v>
                </c:pt>
                <c:pt idx="15">
                  <c:v>10</c:v>
                </c:pt>
                <c:pt idx="16">
                  <c:v>20</c:v>
                </c:pt>
                <c:pt idx="17">
                  <c:v>40</c:v>
                </c:pt>
                <c:pt idx="18">
                  <c:v>12</c:v>
                </c:pt>
                <c:pt idx="19">
                  <c:v>20</c:v>
                </c:pt>
                <c:pt idx="20">
                  <c:v>10</c:v>
                </c:pt>
                <c:pt idx="21">
                  <c:v>20</c:v>
                </c:pt>
                <c:pt idx="22">
                  <c:v>5</c:v>
                </c:pt>
                <c:pt idx="23">
                  <c:v>32</c:v>
                </c:pt>
                <c:pt idx="24">
                  <c:v>16</c:v>
                </c:pt>
                <c:pt idx="25">
                  <c:v>10</c:v>
                </c:pt>
                <c:pt idx="26">
                  <c:v>10</c:v>
                </c:pt>
                <c:pt idx="27">
                  <c:v>6</c:v>
                </c:pt>
                <c:pt idx="28">
                  <c:v>6</c:v>
                </c:pt>
                <c:pt idx="29">
                  <c:v>6</c:v>
                </c:pt>
                <c:pt idx="30">
                  <c:v>7</c:v>
                </c:pt>
                <c:pt idx="31">
                  <c:v>14</c:v>
                </c:pt>
                <c:pt idx="32">
                  <c:v>10</c:v>
                </c:pt>
                <c:pt idx="33">
                  <c:v>7</c:v>
                </c:pt>
                <c:pt idx="34">
                  <c:v>14</c:v>
                </c:pt>
                <c:pt idx="35">
                  <c:v>10</c:v>
                </c:pt>
                <c:pt idx="36">
                  <c:v>20</c:v>
                </c:pt>
                <c:pt idx="37">
                  <c:v>6</c:v>
                </c:pt>
                <c:pt idx="38">
                  <c:v>6</c:v>
                </c:pt>
                <c:pt idx="39">
                  <c:v>6</c:v>
                </c:pt>
                <c:pt idx="40">
                  <c:v>20</c:v>
                </c:pt>
                <c:pt idx="41">
                  <c:v>10</c:v>
                </c:pt>
                <c:pt idx="42">
                  <c:v>10</c:v>
                </c:pt>
                <c:pt idx="43">
                  <c:v>7</c:v>
                </c:pt>
                <c:pt idx="44">
                  <c:v>20</c:v>
                </c:pt>
                <c:pt idx="45">
                  <c:v>20</c:v>
                </c:pt>
                <c:pt idx="46">
                  <c:v>5</c:v>
                </c:pt>
                <c:pt idx="47">
                  <c:v>5</c:v>
                </c:pt>
                <c:pt idx="48">
                  <c:v>5</c:v>
                </c:pt>
              </c:numCache>
            </c:numRef>
          </c:xVal>
          <c:yVal>
            <c:numRef>
              <c:f>'12.Water Consump. Charts_Data'!$S$27:$S$75</c:f>
              <c:numCache>
                <c:formatCode>0.0</c:formatCode>
                <c:ptCount val="49"/>
                <c:pt idx="0">
                  <c:v>4.5746962115796999E-2</c:v>
                </c:pt>
                <c:pt idx="1">
                  <c:v>7.0588235294117646E-2</c:v>
                </c:pt>
                <c:pt idx="2">
                  <c:v>0</c:v>
                </c:pt>
                <c:pt idx="3">
                  <c:v>0</c:v>
                </c:pt>
                <c:pt idx="4">
                  <c:v>0</c:v>
                </c:pt>
                <c:pt idx="5">
                  <c:v>0</c:v>
                </c:pt>
                <c:pt idx="6">
                  <c:v>3.9408866995073889E-3</c:v>
                </c:pt>
                <c:pt idx="7">
                  <c:v>0</c:v>
                </c:pt>
                <c:pt idx="8">
                  <c:v>0</c:v>
                </c:pt>
                <c:pt idx="9">
                  <c:v>0</c:v>
                </c:pt>
                <c:pt idx="10">
                  <c:v>0</c:v>
                </c:pt>
                <c:pt idx="11">
                  <c:v>0</c:v>
                </c:pt>
                <c:pt idx="12">
                  <c:v>0</c:v>
                </c:pt>
                <c:pt idx="13">
                  <c:v>0</c:v>
                </c:pt>
                <c:pt idx="14">
                  <c:v>0</c:v>
                </c:pt>
                <c:pt idx="15">
                  <c:v>0</c:v>
                </c:pt>
                <c:pt idx="16">
                  <c:v>0</c:v>
                </c:pt>
                <c:pt idx="17">
                  <c:v>0</c:v>
                </c:pt>
                <c:pt idx="18">
                  <c:v>0</c:v>
                </c:pt>
                <c:pt idx="19">
                  <c:v>0.13771517996870108</c:v>
                </c:pt>
                <c:pt idx="20">
                  <c:v>0.41160372194854949</c:v>
                </c:pt>
                <c:pt idx="21">
                  <c:v>0</c:v>
                </c:pt>
                <c:pt idx="22">
                  <c:v>0</c:v>
                </c:pt>
                <c:pt idx="23">
                  <c:v>0.41160372194854949</c:v>
                </c:pt>
                <c:pt idx="24">
                  <c:v>0.17741935483870966</c:v>
                </c:pt>
                <c:pt idx="25">
                  <c:v>0.67432950191570884</c:v>
                </c:pt>
                <c:pt idx="26">
                  <c:v>0</c:v>
                </c:pt>
                <c:pt idx="27">
                  <c:v>0</c:v>
                </c:pt>
                <c:pt idx="28">
                  <c:v>0</c:v>
                </c:pt>
                <c:pt idx="29">
                  <c:v>0</c:v>
                </c:pt>
                <c:pt idx="30">
                  <c:v>0</c:v>
                </c:pt>
                <c:pt idx="31">
                  <c:v>1.7216642754662843E-3</c:v>
                </c:pt>
                <c:pt idx="32">
                  <c:v>0</c:v>
                </c:pt>
                <c:pt idx="33">
                  <c:v>9.5808383233532933E-3</c:v>
                </c:pt>
                <c:pt idx="34">
                  <c:v>0</c:v>
                </c:pt>
                <c:pt idx="35">
                  <c:v>1.4519056261343014E-2</c:v>
                </c:pt>
                <c:pt idx="36">
                  <c:v>0</c:v>
                </c:pt>
                <c:pt idx="37">
                  <c:v>0</c:v>
                </c:pt>
                <c:pt idx="38">
                  <c:v>0</c:v>
                </c:pt>
                <c:pt idx="39">
                  <c:v>0</c:v>
                </c:pt>
                <c:pt idx="40">
                  <c:v>0</c:v>
                </c:pt>
                <c:pt idx="41">
                  <c:v>0</c:v>
                </c:pt>
                <c:pt idx="42">
                  <c:v>0</c:v>
                </c:pt>
                <c:pt idx="43">
                  <c:v>0</c:v>
                </c:pt>
                <c:pt idx="44">
                  <c:v>0</c:v>
                </c:pt>
                <c:pt idx="45">
                  <c:v>0</c:v>
                </c:pt>
                <c:pt idx="46">
                  <c:v>0</c:v>
                </c:pt>
                <c:pt idx="47">
                  <c:v>0</c:v>
                </c:pt>
                <c:pt idx="48">
                  <c:v>0</c:v>
                </c:pt>
              </c:numCache>
            </c:numRef>
          </c:yVal>
          <c:smooth val="0"/>
          <c:extLst>
            <c:ext xmlns:c16="http://schemas.microsoft.com/office/drawing/2014/chart" uri="{C3380CC4-5D6E-409C-BE32-E72D297353CC}">
              <c16:uniqueId val="{00000002-F6DC-4221-A655-9624D371D80B}"/>
            </c:ext>
          </c:extLst>
        </c:ser>
        <c:ser>
          <c:idx val="3"/>
          <c:order val="3"/>
          <c:tx>
            <c:v>Gas Combi Baseline CA TRM</c:v>
          </c:tx>
          <c:spPr>
            <a:ln w="25400" cap="rnd">
              <a:noFill/>
              <a:round/>
            </a:ln>
            <a:effectLst/>
          </c:spPr>
          <c:marker>
            <c:symbol val="circle"/>
            <c:size val="5"/>
            <c:spPr>
              <a:solidFill>
                <a:sysClr val="windowText" lastClr="000000"/>
              </a:solidFill>
              <a:ln w="15875">
                <a:solidFill>
                  <a:srgbClr val="ED7D31"/>
                </a:solidFill>
              </a:ln>
              <a:effectLst/>
            </c:spPr>
          </c:marker>
          <c:xVal>
            <c:numRef>
              <c:f>'12.Water Consump. Charts_Data'!$K$159:$K$187</c:f>
              <c:numCache>
                <c:formatCode>#,##0_);\(#,##0\)</c:formatCode>
                <c:ptCount val="29"/>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22</c:v>
                </c:pt>
                <c:pt idx="20">
                  <c:v>22</c:v>
                </c:pt>
                <c:pt idx="21">
                  <c:v>22</c:v>
                </c:pt>
                <c:pt idx="22">
                  <c:v>22</c:v>
                </c:pt>
                <c:pt idx="23">
                  <c:v>22</c:v>
                </c:pt>
                <c:pt idx="24">
                  <c:v>22</c:v>
                </c:pt>
                <c:pt idx="25">
                  <c:v>22</c:v>
                </c:pt>
                <c:pt idx="26">
                  <c:v>22</c:v>
                </c:pt>
                <c:pt idx="27">
                  <c:v>32</c:v>
                </c:pt>
                <c:pt idx="28">
                  <c:v>32</c:v>
                </c:pt>
              </c:numCache>
            </c:numRef>
          </c:xVal>
          <c:yVal>
            <c:numRef>
              <c:f>'12.Water Consump. Charts_Data'!$S$159:$S$187</c:f>
              <c:numCache>
                <c:formatCode>0.0</c:formatCode>
                <c:ptCount val="2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numCache>
            </c:numRef>
          </c:yVal>
          <c:smooth val="0"/>
          <c:extLst xmlns:c15="http://schemas.microsoft.com/office/drawing/2012/chart">
            <c:ext xmlns:c16="http://schemas.microsoft.com/office/drawing/2014/chart" uri="{C3380CC4-5D6E-409C-BE32-E72D297353CC}">
              <c16:uniqueId val="{00000003-F6DC-4221-A655-9624D371D80B}"/>
            </c:ext>
          </c:extLst>
        </c:ser>
        <c:ser>
          <c:idx val="4"/>
          <c:order val="4"/>
          <c:tx>
            <c:v>Electric Combi Baseline CA TRM</c:v>
          </c:tx>
          <c:spPr>
            <a:ln w="25400" cap="rnd">
              <a:noFill/>
              <a:round/>
            </a:ln>
            <a:effectLst/>
          </c:spPr>
          <c:marker>
            <c:symbol val="circle"/>
            <c:size val="5"/>
            <c:spPr>
              <a:solidFill>
                <a:sysClr val="windowText" lastClr="000000"/>
              </a:solidFill>
              <a:ln w="15875">
                <a:solidFill>
                  <a:srgbClr val="E7E6E6">
                    <a:lumMod val="50000"/>
                  </a:srgbClr>
                </a:solidFill>
              </a:ln>
              <a:effectLst/>
            </c:spPr>
          </c:marker>
          <c:xVal>
            <c:numRef>
              <c:f>'12.Water Consump. Charts_Data'!$K$76:$K$114</c:f>
              <c:numCache>
                <c:formatCode>#,##0_);\(#,##0\)</c:formatCode>
                <c:ptCount val="39"/>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22</c:v>
                </c:pt>
                <c:pt idx="26">
                  <c:v>22</c:v>
                </c:pt>
                <c:pt idx="27">
                  <c:v>22</c:v>
                </c:pt>
                <c:pt idx="28">
                  <c:v>22</c:v>
                </c:pt>
                <c:pt idx="29">
                  <c:v>22</c:v>
                </c:pt>
                <c:pt idx="30">
                  <c:v>22</c:v>
                </c:pt>
                <c:pt idx="31">
                  <c:v>22</c:v>
                </c:pt>
                <c:pt idx="32">
                  <c:v>22</c:v>
                </c:pt>
                <c:pt idx="33">
                  <c:v>22</c:v>
                </c:pt>
                <c:pt idx="34">
                  <c:v>22</c:v>
                </c:pt>
                <c:pt idx="35">
                  <c:v>22</c:v>
                </c:pt>
                <c:pt idx="36">
                  <c:v>32</c:v>
                </c:pt>
                <c:pt idx="37">
                  <c:v>32</c:v>
                </c:pt>
                <c:pt idx="38">
                  <c:v>32</c:v>
                </c:pt>
              </c:numCache>
              <c:extLst xmlns:c15="http://schemas.microsoft.com/office/drawing/2012/chart"/>
            </c:numRef>
          </c:xVal>
          <c:yVal>
            <c:numRef>
              <c:f>'12.Water Consump. Charts_Data'!$S$76:$S$114</c:f>
              <c:numCache>
                <c:formatCode>0.0</c:formatCode>
                <c:ptCount val="3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numCache>
            </c:numRef>
          </c:yVal>
          <c:smooth val="0"/>
          <c:extLst xmlns:c15="http://schemas.microsoft.com/office/drawing/2012/chart">
            <c:ext xmlns:c16="http://schemas.microsoft.com/office/drawing/2014/chart" uri="{C3380CC4-5D6E-409C-BE32-E72D297353CC}">
              <c16:uniqueId val="{00000004-F6DC-4221-A655-9624D371D80B}"/>
            </c:ext>
          </c:extLst>
        </c:ser>
        <c:ser>
          <c:idx val="5"/>
          <c:order val="5"/>
          <c:tx>
            <c:v>Proposed Water Consumption Limit</c:v>
          </c:tx>
          <c:spPr>
            <a:ln w="25400" cap="rnd">
              <a:solidFill>
                <a:srgbClr val="70AD47">
                  <a:lumMod val="60000"/>
                  <a:lumOff val="40000"/>
                </a:srgbClr>
              </a:solidFill>
              <a:round/>
            </a:ln>
            <a:effectLst/>
          </c:spPr>
          <c:marker>
            <c:symbol val="none"/>
          </c:marker>
          <c:xVal>
            <c:numRef>
              <c:f>'12.Water Consump. Charts_Data'!$X$2:$X$3</c:f>
              <c:numCache>
                <c:formatCode>General</c:formatCode>
                <c:ptCount val="2"/>
                <c:pt idx="0">
                  <c:v>0</c:v>
                </c:pt>
                <c:pt idx="1">
                  <c:v>40</c:v>
                </c:pt>
              </c:numCache>
            </c:numRef>
          </c:xVal>
          <c:yVal>
            <c:numRef>
              <c:f>'12.Water Consump. Charts_Data'!$Z$2:$Z$3</c:f>
              <c:numCache>
                <c:formatCode>General</c:formatCode>
                <c:ptCount val="2"/>
                <c:pt idx="0">
                  <c:v>0.4</c:v>
                </c:pt>
                <c:pt idx="1">
                  <c:v>0.4</c:v>
                </c:pt>
              </c:numCache>
            </c:numRef>
          </c:yVal>
          <c:smooth val="0"/>
          <c:extLst>
            <c:ext xmlns:c16="http://schemas.microsoft.com/office/drawing/2014/chart" uri="{C3380CC4-5D6E-409C-BE32-E72D297353CC}">
              <c16:uniqueId val="{00000001-FE0F-4BBD-B120-EF00FFAC8920}"/>
            </c:ext>
          </c:extLst>
        </c:ser>
        <c:dLbls>
          <c:showLegendKey val="0"/>
          <c:showVal val="0"/>
          <c:showCatName val="0"/>
          <c:showSerName val="0"/>
          <c:showPercent val="0"/>
          <c:showBubbleSize val="0"/>
        </c:dLbls>
        <c:axId val="1308162111"/>
        <c:axId val="1308162527"/>
        <c:extLst/>
      </c:scatterChart>
      <c:valAx>
        <c:axId val="1308162111"/>
        <c:scaling>
          <c:orientation val="minMax"/>
          <c:max val="4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Steam Pan</a:t>
                </a:r>
                <a:r>
                  <a:rPr lang="en-US" baseline="0"/>
                  <a:t> Capacity</a:t>
                </a:r>
                <a:endParaRPr lang="en-US"/>
              </a:p>
            </c:rich>
          </c:tx>
          <c:layout>
            <c:manualLayout>
              <c:xMode val="edge"/>
              <c:yMode val="edge"/>
              <c:x val="0.4543563629235689"/>
              <c:y val="0.9496928673389510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8162527"/>
        <c:crosses val="autoZero"/>
        <c:crossBetween val="midCat"/>
      </c:valAx>
      <c:valAx>
        <c:axId val="1308162527"/>
        <c:scaling>
          <c:orientation val="minMax"/>
          <c:max val="1.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Gallons Per Pan</a:t>
                </a:r>
              </a:p>
            </c:rich>
          </c:tx>
          <c:layout>
            <c:manualLayout>
              <c:xMode val="edge"/>
              <c:yMode val="edge"/>
              <c:x val="1.0256410256410256E-2"/>
              <c:y val="0.4213870281538492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8162111"/>
        <c:crosses val="autoZero"/>
        <c:crossBetween val="midCat"/>
        <c:majorUnit val="0.5"/>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Water Consumption Criteria- Electric and Gas Combis: data from ESTAR QPL, gallons</a:t>
            </a:r>
            <a:r>
              <a:rPr lang="en-US" baseline="0"/>
              <a:t> per pan assumption, steam mode only.</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5312087486904382E-2"/>
          <c:y val="0.23620671882251734"/>
          <c:w val="0.87342894053863718"/>
          <c:h val="0.67663512455679886"/>
        </c:manualLayout>
      </c:layout>
      <c:scatterChart>
        <c:scatterStyle val="lineMarker"/>
        <c:varyColors val="0"/>
        <c:ser>
          <c:idx val="0"/>
          <c:order val="0"/>
          <c:tx>
            <c:strRef>
              <c:f>#REF!</c:f>
              <c:strCache>
                <c:ptCount val="1"/>
                <c:pt idx="0">
                  <c:v>#REF!</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#REF!</c:f>
            </c:numRef>
          </c:xVal>
          <c:yVal>
            <c:numRef>
              <c:f>#REF!</c:f>
              <c:numCache>
                <c:formatCode>General</c:formatCode>
                <c:ptCount val="1"/>
                <c:pt idx="0">
                  <c:v>1</c:v>
                </c:pt>
              </c:numCache>
            </c:numRef>
          </c:yVal>
          <c:smooth val="0"/>
          <c:extLst>
            <c:ext xmlns:c16="http://schemas.microsoft.com/office/drawing/2014/chart" uri="{C3380CC4-5D6E-409C-BE32-E72D297353CC}">
              <c16:uniqueId val="{00000000-B394-4381-9C79-B5C9292B1E71}"/>
            </c:ext>
          </c:extLst>
        </c:ser>
        <c:ser>
          <c:idx val="1"/>
          <c:order val="1"/>
          <c:tx>
            <c:v>Gas Combi ENERGY STAR QPL</c:v>
          </c:tx>
          <c:spPr>
            <a:ln w="25400" cap="rnd">
              <a:noFill/>
              <a:round/>
            </a:ln>
            <a:effectLst/>
          </c:spPr>
          <c:marker>
            <c:symbol val="circle"/>
            <c:size val="10"/>
            <c:spPr>
              <a:solidFill>
                <a:schemeClr val="accent2"/>
              </a:solidFill>
              <a:ln w="9525">
                <a:solidFill>
                  <a:sysClr val="windowText" lastClr="000000">
                    <a:lumMod val="75000"/>
                    <a:lumOff val="25000"/>
                  </a:sysClr>
                </a:solidFill>
              </a:ln>
              <a:effectLst/>
            </c:spPr>
          </c:marker>
          <c:xVal>
            <c:numRef>
              <c:f>'12.Water Consump. Charts_Data'!$K$115:$K$158</c:f>
              <c:numCache>
                <c:formatCode>#,##0_);\(#,##0\)</c:formatCode>
                <c:ptCount val="44"/>
                <c:pt idx="0">
                  <c:v>16</c:v>
                </c:pt>
                <c:pt idx="1">
                  <c:v>14</c:v>
                </c:pt>
                <c:pt idx="2">
                  <c:v>14</c:v>
                </c:pt>
                <c:pt idx="3">
                  <c:v>6</c:v>
                </c:pt>
                <c:pt idx="4">
                  <c:v>10</c:v>
                </c:pt>
                <c:pt idx="5">
                  <c:v>20</c:v>
                </c:pt>
                <c:pt idx="6">
                  <c:v>20</c:v>
                </c:pt>
                <c:pt idx="7">
                  <c:v>6</c:v>
                </c:pt>
                <c:pt idx="8">
                  <c:v>6</c:v>
                </c:pt>
                <c:pt idx="9">
                  <c:v>6</c:v>
                </c:pt>
                <c:pt idx="10">
                  <c:v>10</c:v>
                </c:pt>
                <c:pt idx="11">
                  <c:v>12</c:v>
                </c:pt>
                <c:pt idx="12">
                  <c:v>20</c:v>
                </c:pt>
                <c:pt idx="13">
                  <c:v>20</c:v>
                </c:pt>
                <c:pt idx="14">
                  <c:v>40</c:v>
                </c:pt>
                <c:pt idx="15">
                  <c:v>7</c:v>
                </c:pt>
                <c:pt idx="16">
                  <c:v>10</c:v>
                </c:pt>
                <c:pt idx="17">
                  <c:v>10</c:v>
                </c:pt>
                <c:pt idx="18">
                  <c:v>12</c:v>
                </c:pt>
                <c:pt idx="19">
                  <c:v>20</c:v>
                </c:pt>
                <c:pt idx="20">
                  <c:v>20</c:v>
                </c:pt>
                <c:pt idx="21">
                  <c:v>14</c:v>
                </c:pt>
                <c:pt idx="22">
                  <c:v>40</c:v>
                </c:pt>
                <c:pt idx="23">
                  <c:v>16</c:v>
                </c:pt>
                <c:pt idx="24">
                  <c:v>24</c:v>
                </c:pt>
                <c:pt idx="25">
                  <c:v>40</c:v>
                </c:pt>
                <c:pt idx="26">
                  <c:v>22</c:v>
                </c:pt>
                <c:pt idx="27">
                  <c:v>40</c:v>
                </c:pt>
                <c:pt idx="28">
                  <c:v>6</c:v>
                </c:pt>
                <c:pt idx="29">
                  <c:v>10</c:v>
                </c:pt>
                <c:pt idx="30">
                  <c:v>7</c:v>
                </c:pt>
                <c:pt idx="31">
                  <c:v>7</c:v>
                </c:pt>
                <c:pt idx="32">
                  <c:v>10</c:v>
                </c:pt>
                <c:pt idx="33">
                  <c:v>10</c:v>
                </c:pt>
                <c:pt idx="34">
                  <c:v>14</c:v>
                </c:pt>
                <c:pt idx="35">
                  <c:v>14</c:v>
                </c:pt>
                <c:pt idx="36">
                  <c:v>20</c:v>
                </c:pt>
                <c:pt idx="37">
                  <c:v>20</c:v>
                </c:pt>
                <c:pt idx="38">
                  <c:v>40</c:v>
                </c:pt>
                <c:pt idx="39">
                  <c:v>40</c:v>
                </c:pt>
                <c:pt idx="40">
                  <c:v>20</c:v>
                </c:pt>
                <c:pt idx="41">
                  <c:v>20</c:v>
                </c:pt>
                <c:pt idx="42">
                  <c:v>20</c:v>
                </c:pt>
                <c:pt idx="43">
                  <c:v>32</c:v>
                </c:pt>
              </c:numCache>
            </c:numRef>
          </c:xVal>
          <c:yVal>
            <c:numRef>
              <c:f>'12.Water Consump. Charts_Data'!$R$115:$R$158</c:f>
              <c:numCache>
                <c:formatCode>0.0</c:formatCode>
                <c:ptCount val="44"/>
                <c:pt idx="0">
                  <c:v>4.6182495344506524E-2</c:v>
                </c:pt>
                <c:pt idx="1">
                  <c:v>0.20549581839904416</c:v>
                </c:pt>
                <c:pt idx="2">
                  <c:v>9.7991180793728566E-2</c:v>
                </c:pt>
                <c:pt idx="3">
                  <c:v>0.14595066233045134</c:v>
                </c:pt>
                <c:pt idx="4">
                  <c:v>0.1559064561263242</c:v>
                </c:pt>
                <c:pt idx="5">
                  <c:v>0.2538723082735172</c:v>
                </c:pt>
                <c:pt idx="6">
                  <c:v>0.2088888888888889</c:v>
                </c:pt>
                <c:pt idx="7">
                  <c:v>2.8183899947155186E-2</c:v>
                </c:pt>
                <c:pt idx="8">
                  <c:v>2.0276497695852536E-2</c:v>
                </c:pt>
                <c:pt idx="9">
                  <c:v>0.15220963417798153</c:v>
                </c:pt>
                <c:pt idx="10">
                  <c:v>0.17307297019527235</c:v>
                </c:pt>
                <c:pt idx="11">
                  <c:v>0.33507853403141363</c:v>
                </c:pt>
                <c:pt idx="12">
                  <c:v>0.12639065278130557</c:v>
                </c:pt>
                <c:pt idx="13">
                  <c:v>0.25167785234899326</c:v>
                </c:pt>
                <c:pt idx="14">
                  <c:v>0.23396215488410477</c:v>
                </c:pt>
                <c:pt idx="15">
                  <c:v>0.19609472372247613</c:v>
                </c:pt>
                <c:pt idx="16">
                  <c:v>0.11420689655172413</c:v>
                </c:pt>
                <c:pt idx="17">
                  <c:v>0.23092783505154643</c:v>
                </c:pt>
                <c:pt idx="18">
                  <c:v>0.44815007816571129</c:v>
                </c:pt>
                <c:pt idx="19">
                  <c:v>0.39076923076923081</c:v>
                </c:pt>
                <c:pt idx="20">
                  <c:v>0.33400809716599189</c:v>
                </c:pt>
                <c:pt idx="21">
                  <c:v>0.39071257005604476</c:v>
                </c:pt>
                <c:pt idx="22">
                  <c:v>0.22427603203943311</c:v>
                </c:pt>
                <c:pt idx="23">
                  <c:v>0.15464994775339605</c:v>
                </c:pt>
                <c:pt idx="24">
                  <c:v>9.3315388066397498E-2</c:v>
                </c:pt>
                <c:pt idx="25">
                  <c:v>9.2633260131762832E-2</c:v>
                </c:pt>
                <c:pt idx="26">
                  <c:v>4.5515394912985271E-2</c:v>
                </c:pt>
                <c:pt idx="27">
                  <c:v>0.21787234042553191</c:v>
                </c:pt>
                <c:pt idx="28">
                  <c:v>0.14210919970082272</c:v>
                </c:pt>
                <c:pt idx="29">
                  <c:v>0.13782733993233934</c:v>
                </c:pt>
                <c:pt idx="30">
                  <c:v>0.35173058933582785</c:v>
                </c:pt>
                <c:pt idx="31">
                  <c:v>8.5836909871244621E-2</c:v>
                </c:pt>
                <c:pt idx="32">
                  <c:v>0.42158730158730162</c:v>
                </c:pt>
                <c:pt idx="33">
                  <c:v>0.44901777362020578</c:v>
                </c:pt>
                <c:pt idx="34">
                  <c:v>0.23529411764705882</c:v>
                </c:pt>
                <c:pt idx="35">
                  <c:v>0.1797175866495507</c:v>
                </c:pt>
                <c:pt idx="36">
                  <c:v>0.33131313131313128</c:v>
                </c:pt>
                <c:pt idx="37">
                  <c:v>0.23273746933052927</c:v>
                </c:pt>
                <c:pt idx="38">
                  <c:v>0.18707224334600758</c:v>
                </c:pt>
                <c:pt idx="39">
                  <c:v>5.8907363420427551E-2</c:v>
                </c:pt>
                <c:pt idx="40">
                  <c:v>0.47203694202154955</c:v>
                </c:pt>
                <c:pt idx="41">
                  <c:v>0.44709784411276954</c:v>
                </c:pt>
                <c:pt idx="42">
                  <c:v>0.26027397260273971</c:v>
                </c:pt>
                <c:pt idx="43">
                  <c:v>0.17851074462768615</c:v>
                </c:pt>
              </c:numCache>
            </c:numRef>
          </c:yVal>
          <c:smooth val="0"/>
          <c:extLst>
            <c:ext xmlns:c16="http://schemas.microsoft.com/office/drawing/2014/chart" uri="{C3380CC4-5D6E-409C-BE32-E72D297353CC}">
              <c16:uniqueId val="{00000001-B394-4381-9C79-B5C9292B1E71}"/>
            </c:ext>
          </c:extLst>
        </c:ser>
        <c:ser>
          <c:idx val="2"/>
          <c:order val="2"/>
          <c:tx>
            <c:v>Electri Combis ENERGY STAR QPL</c:v>
          </c:tx>
          <c:spPr>
            <a:ln w="25400" cap="rnd">
              <a:noFill/>
              <a:round/>
            </a:ln>
            <a:effectLst/>
          </c:spPr>
          <c:marker>
            <c:symbol val="circle"/>
            <c:size val="7"/>
            <c:spPr>
              <a:solidFill>
                <a:schemeClr val="accent3"/>
              </a:solidFill>
              <a:ln w="9525">
                <a:solidFill>
                  <a:sysClr val="windowText" lastClr="000000">
                    <a:lumMod val="75000"/>
                    <a:lumOff val="25000"/>
                  </a:sysClr>
                </a:solidFill>
              </a:ln>
              <a:effectLst/>
            </c:spPr>
          </c:marker>
          <c:xVal>
            <c:numRef>
              <c:f>'12.Water Consump. Charts_Data'!$K$27:$K$75</c:f>
              <c:numCache>
                <c:formatCode>#,##0_);\(#,##0\)</c:formatCode>
                <c:ptCount val="49"/>
                <c:pt idx="0">
                  <c:v>14</c:v>
                </c:pt>
                <c:pt idx="1">
                  <c:v>14</c:v>
                </c:pt>
                <c:pt idx="2">
                  <c:v>14</c:v>
                </c:pt>
                <c:pt idx="3">
                  <c:v>20</c:v>
                </c:pt>
                <c:pt idx="4">
                  <c:v>20</c:v>
                </c:pt>
                <c:pt idx="5">
                  <c:v>22</c:v>
                </c:pt>
                <c:pt idx="6">
                  <c:v>24</c:v>
                </c:pt>
                <c:pt idx="7">
                  <c:v>20</c:v>
                </c:pt>
                <c:pt idx="8">
                  <c:v>20</c:v>
                </c:pt>
                <c:pt idx="9">
                  <c:v>6</c:v>
                </c:pt>
                <c:pt idx="10">
                  <c:v>12</c:v>
                </c:pt>
                <c:pt idx="11">
                  <c:v>6</c:v>
                </c:pt>
                <c:pt idx="12">
                  <c:v>20</c:v>
                </c:pt>
                <c:pt idx="13">
                  <c:v>20</c:v>
                </c:pt>
                <c:pt idx="14">
                  <c:v>12</c:v>
                </c:pt>
                <c:pt idx="15">
                  <c:v>10</c:v>
                </c:pt>
                <c:pt idx="16">
                  <c:v>20</c:v>
                </c:pt>
                <c:pt idx="17">
                  <c:v>40</c:v>
                </c:pt>
                <c:pt idx="18">
                  <c:v>12</c:v>
                </c:pt>
                <c:pt idx="19">
                  <c:v>20</c:v>
                </c:pt>
                <c:pt idx="20">
                  <c:v>10</c:v>
                </c:pt>
                <c:pt idx="21">
                  <c:v>20</c:v>
                </c:pt>
                <c:pt idx="22">
                  <c:v>5</c:v>
                </c:pt>
                <c:pt idx="23">
                  <c:v>32</c:v>
                </c:pt>
                <c:pt idx="24">
                  <c:v>16</c:v>
                </c:pt>
                <c:pt idx="25">
                  <c:v>10</c:v>
                </c:pt>
                <c:pt idx="26">
                  <c:v>10</c:v>
                </c:pt>
                <c:pt idx="27">
                  <c:v>6</c:v>
                </c:pt>
                <c:pt idx="28">
                  <c:v>6</c:v>
                </c:pt>
                <c:pt idx="29">
                  <c:v>6</c:v>
                </c:pt>
                <c:pt idx="30">
                  <c:v>7</c:v>
                </c:pt>
                <c:pt idx="31">
                  <c:v>14</c:v>
                </c:pt>
                <c:pt idx="32">
                  <c:v>10</c:v>
                </c:pt>
                <c:pt idx="33">
                  <c:v>7</c:v>
                </c:pt>
                <c:pt idx="34">
                  <c:v>14</c:v>
                </c:pt>
                <c:pt idx="35">
                  <c:v>10</c:v>
                </c:pt>
                <c:pt idx="36">
                  <c:v>20</c:v>
                </c:pt>
                <c:pt idx="37">
                  <c:v>6</c:v>
                </c:pt>
                <c:pt idx="38">
                  <c:v>6</c:v>
                </c:pt>
                <c:pt idx="39">
                  <c:v>6</c:v>
                </c:pt>
                <c:pt idx="40">
                  <c:v>20</c:v>
                </c:pt>
                <c:pt idx="41">
                  <c:v>10</c:v>
                </c:pt>
                <c:pt idx="42">
                  <c:v>10</c:v>
                </c:pt>
                <c:pt idx="43">
                  <c:v>7</c:v>
                </c:pt>
                <c:pt idx="44">
                  <c:v>20</c:v>
                </c:pt>
                <c:pt idx="45">
                  <c:v>20</c:v>
                </c:pt>
                <c:pt idx="46">
                  <c:v>5</c:v>
                </c:pt>
                <c:pt idx="47">
                  <c:v>5</c:v>
                </c:pt>
                <c:pt idx="48">
                  <c:v>5</c:v>
                </c:pt>
              </c:numCache>
            </c:numRef>
          </c:xVal>
          <c:yVal>
            <c:numRef>
              <c:f>'12.Water Consump. Charts_Data'!$R$27:$R$75</c:f>
              <c:numCache>
                <c:formatCode>0.0</c:formatCode>
                <c:ptCount val="49"/>
                <c:pt idx="0">
                  <c:v>7.0052539404553416E-2</c:v>
                </c:pt>
                <c:pt idx="1">
                  <c:v>0.20550458715596329</c:v>
                </c:pt>
                <c:pt idx="2">
                  <c:v>0.35506849315068489</c:v>
                </c:pt>
                <c:pt idx="3">
                  <c:v>4.6029919447640968E-2</c:v>
                </c:pt>
                <c:pt idx="4">
                  <c:v>1.188707280832095E-2</c:v>
                </c:pt>
                <c:pt idx="5">
                  <c:v>0.24367816091954025</c:v>
                </c:pt>
                <c:pt idx="6">
                  <c:v>6.9009584664536744E-2</c:v>
                </c:pt>
                <c:pt idx="7">
                  <c:v>0.11714885027902007</c:v>
                </c:pt>
                <c:pt idx="8">
                  <c:v>0.17846519928613921</c:v>
                </c:pt>
                <c:pt idx="9">
                  <c:v>0.16684045881126169</c:v>
                </c:pt>
                <c:pt idx="10">
                  <c:v>0.19581664441477531</c:v>
                </c:pt>
                <c:pt idx="11">
                  <c:v>0.32205128205128208</c:v>
                </c:pt>
                <c:pt idx="12">
                  <c:v>0.11066477392853907</c:v>
                </c:pt>
                <c:pt idx="13">
                  <c:v>0.43102617632889034</c:v>
                </c:pt>
                <c:pt idx="14">
                  <c:v>6.5762711864406784E-2</c:v>
                </c:pt>
                <c:pt idx="15">
                  <c:v>0.10148075024679171</c:v>
                </c:pt>
                <c:pt idx="16">
                  <c:v>9.3159268929503908E-2</c:v>
                </c:pt>
                <c:pt idx="17">
                  <c:v>4.3711069828434056E-2</c:v>
                </c:pt>
                <c:pt idx="18">
                  <c:v>0.4690117252931324</c:v>
                </c:pt>
                <c:pt idx="19">
                  <c:v>0.13639526791927628</c:v>
                </c:pt>
                <c:pt idx="20">
                  <c:v>9.746658544451213E-2</c:v>
                </c:pt>
                <c:pt idx="21">
                  <c:v>0.14669450243562976</c:v>
                </c:pt>
                <c:pt idx="22">
                  <c:v>2.4502297090352225E-2</c:v>
                </c:pt>
                <c:pt idx="23">
                  <c:v>9.746658544451213E-2</c:v>
                </c:pt>
                <c:pt idx="24">
                  <c:v>5.5883933369156376E-2</c:v>
                </c:pt>
                <c:pt idx="25">
                  <c:v>0.16600790513833993</c:v>
                </c:pt>
                <c:pt idx="26">
                  <c:v>6.7681557274769169E-2</c:v>
                </c:pt>
                <c:pt idx="27">
                  <c:v>2.8788813489615459E-2</c:v>
                </c:pt>
                <c:pt idx="28">
                  <c:v>1.2376134130534766E-2</c:v>
                </c:pt>
                <c:pt idx="29">
                  <c:v>0.32548179871520339</c:v>
                </c:pt>
                <c:pt idx="30">
                  <c:v>0.8</c:v>
                </c:pt>
                <c:pt idx="31">
                  <c:v>0.22303771661569824</c:v>
                </c:pt>
                <c:pt idx="32">
                  <c:v>0.52494279176201375</c:v>
                </c:pt>
                <c:pt idx="33">
                  <c:v>0.67752442996742679</c:v>
                </c:pt>
                <c:pt idx="34">
                  <c:v>1.2480499219968801E-2</c:v>
                </c:pt>
                <c:pt idx="35">
                  <c:v>0.55566905005107237</c:v>
                </c:pt>
                <c:pt idx="36">
                  <c:v>0.12592991913746632</c:v>
                </c:pt>
                <c:pt idx="37">
                  <c:v>1.9782031321549595E-2</c:v>
                </c:pt>
                <c:pt idx="38">
                  <c:v>0.54784097393950915</c:v>
                </c:pt>
                <c:pt idx="39">
                  <c:v>0.10558375634517767</c:v>
                </c:pt>
                <c:pt idx="40">
                  <c:v>6.0219550444328272E-2</c:v>
                </c:pt>
                <c:pt idx="41">
                  <c:v>1.5754437869822484</c:v>
                </c:pt>
                <c:pt idx="42">
                  <c:v>1.3753345686637841</c:v>
                </c:pt>
                <c:pt idx="43">
                  <c:v>0.98884120171673828</c:v>
                </c:pt>
                <c:pt idx="44">
                  <c:v>2.3209283713485393E-2</c:v>
                </c:pt>
                <c:pt idx="45">
                  <c:v>6.2010582010582016E-2</c:v>
                </c:pt>
                <c:pt idx="46">
                  <c:v>0.39131886477462441</c:v>
                </c:pt>
                <c:pt idx="47">
                  <c:v>0.16282225237449119</c:v>
                </c:pt>
                <c:pt idx="48">
                  <c:v>0.39086209771552449</c:v>
                </c:pt>
              </c:numCache>
            </c:numRef>
          </c:yVal>
          <c:smooth val="0"/>
          <c:extLst>
            <c:ext xmlns:c16="http://schemas.microsoft.com/office/drawing/2014/chart" uri="{C3380CC4-5D6E-409C-BE32-E72D297353CC}">
              <c16:uniqueId val="{00000002-B394-4381-9C79-B5C9292B1E71}"/>
            </c:ext>
          </c:extLst>
        </c:ser>
        <c:ser>
          <c:idx val="3"/>
          <c:order val="3"/>
          <c:tx>
            <c:v>Gas Combi Baseline CA TRM</c:v>
          </c:tx>
          <c:spPr>
            <a:ln w="25400" cap="rnd">
              <a:noFill/>
              <a:round/>
            </a:ln>
            <a:effectLst/>
          </c:spPr>
          <c:marker>
            <c:symbol val="circle"/>
            <c:size val="10"/>
            <c:spPr>
              <a:solidFill>
                <a:sysClr val="windowText" lastClr="000000"/>
              </a:solidFill>
              <a:ln w="15875">
                <a:solidFill>
                  <a:srgbClr val="ED7D31"/>
                </a:solidFill>
              </a:ln>
              <a:effectLst/>
            </c:spPr>
          </c:marker>
          <c:xVal>
            <c:numRef>
              <c:f>'12.Water Consump. Charts_Data'!$K$159:$K$187</c:f>
              <c:numCache>
                <c:formatCode>#,##0_);\(#,##0\)</c:formatCode>
                <c:ptCount val="29"/>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22</c:v>
                </c:pt>
                <c:pt idx="20">
                  <c:v>22</c:v>
                </c:pt>
                <c:pt idx="21">
                  <c:v>22</c:v>
                </c:pt>
                <c:pt idx="22">
                  <c:v>22</c:v>
                </c:pt>
                <c:pt idx="23">
                  <c:v>22</c:v>
                </c:pt>
                <c:pt idx="24">
                  <c:v>22</c:v>
                </c:pt>
                <c:pt idx="25">
                  <c:v>22</c:v>
                </c:pt>
                <c:pt idx="26">
                  <c:v>22</c:v>
                </c:pt>
                <c:pt idx="27">
                  <c:v>32</c:v>
                </c:pt>
                <c:pt idx="28">
                  <c:v>32</c:v>
                </c:pt>
              </c:numCache>
            </c:numRef>
          </c:xVal>
          <c:yVal>
            <c:numRef>
              <c:f>'12.Water Consump. Charts_Data'!$R$159:$R$187</c:f>
              <c:numCache>
                <c:formatCode>0.0</c:formatCode>
                <c:ptCount val="29"/>
                <c:pt idx="0">
                  <c:v>3.3600000000000003</c:v>
                </c:pt>
                <c:pt idx="1">
                  <c:v>3.3600000000000003</c:v>
                </c:pt>
                <c:pt idx="2">
                  <c:v>3.3600000000000003</c:v>
                </c:pt>
                <c:pt idx="3">
                  <c:v>3.3600000000000003</c:v>
                </c:pt>
                <c:pt idx="4">
                  <c:v>3.3600000000000003</c:v>
                </c:pt>
                <c:pt idx="5">
                  <c:v>3.3600000000000003</c:v>
                </c:pt>
                <c:pt idx="6">
                  <c:v>3.3600000000000003</c:v>
                </c:pt>
                <c:pt idx="7">
                  <c:v>3.3600000000000003</c:v>
                </c:pt>
                <c:pt idx="8">
                  <c:v>3.3600000000000003</c:v>
                </c:pt>
                <c:pt idx="9">
                  <c:v>3.3600000000000003</c:v>
                </c:pt>
                <c:pt idx="10">
                  <c:v>3.3600000000000003</c:v>
                </c:pt>
                <c:pt idx="11">
                  <c:v>3.3600000000000003</c:v>
                </c:pt>
                <c:pt idx="12">
                  <c:v>3.3600000000000003</c:v>
                </c:pt>
                <c:pt idx="13">
                  <c:v>3.3600000000000003</c:v>
                </c:pt>
                <c:pt idx="14">
                  <c:v>3.3600000000000003</c:v>
                </c:pt>
                <c:pt idx="15">
                  <c:v>3.3600000000000003</c:v>
                </c:pt>
                <c:pt idx="16">
                  <c:v>3.3600000000000003</c:v>
                </c:pt>
                <c:pt idx="17">
                  <c:v>3.3600000000000003</c:v>
                </c:pt>
                <c:pt idx="18">
                  <c:v>3.3600000000000003</c:v>
                </c:pt>
                <c:pt idx="19">
                  <c:v>3.7333333333333329</c:v>
                </c:pt>
                <c:pt idx="20">
                  <c:v>3.7333333333333329</c:v>
                </c:pt>
                <c:pt idx="21">
                  <c:v>3.7333333333333329</c:v>
                </c:pt>
                <c:pt idx="22">
                  <c:v>3.7333333333333329</c:v>
                </c:pt>
                <c:pt idx="23">
                  <c:v>3.7333333333333329</c:v>
                </c:pt>
                <c:pt idx="24">
                  <c:v>3.7333333333333329</c:v>
                </c:pt>
                <c:pt idx="25">
                  <c:v>3.7333333333333329</c:v>
                </c:pt>
                <c:pt idx="26">
                  <c:v>3.7333333333333329</c:v>
                </c:pt>
                <c:pt idx="27">
                  <c:v>3.2</c:v>
                </c:pt>
                <c:pt idx="28">
                  <c:v>3.2</c:v>
                </c:pt>
              </c:numCache>
            </c:numRef>
          </c:yVal>
          <c:smooth val="0"/>
          <c:extLst>
            <c:ext xmlns:c16="http://schemas.microsoft.com/office/drawing/2014/chart" uri="{C3380CC4-5D6E-409C-BE32-E72D297353CC}">
              <c16:uniqueId val="{00000001-965C-42DF-810A-8E92F23F8945}"/>
            </c:ext>
          </c:extLst>
        </c:ser>
        <c:ser>
          <c:idx val="4"/>
          <c:order val="4"/>
          <c:tx>
            <c:v>Electric Combi Baseline CA TRM</c:v>
          </c:tx>
          <c:spPr>
            <a:ln w="25400" cap="rnd">
              <a:noFill/>
              <a:round/>
            </a:ln>
            <a:effectLst/>
          </c:spPr>
          <c:marker>
            <c:symbol val="circle"/>
            <c:size val="8"/>
            <c:spPr>
              <a:solidFill>
                <a:sysClr val="windowText" lastClr="000000"/>
              </a:solidFill>
              <a:ln w="28575">
                <a:solidFill>
                  <a:srgbClr val="E7E6E6">
                    <a:lumMod val="50000"/>
                  </a:srgbClr>
                </a:solidFill>
              </a:ln>
              <a:effectLst/>
            </c:spPr>
          </c:marker>
          <c:xVal>
            <c:numRef>
              <c:f>'12.Water Consump. Charts_Data'!$K$76:$K$114</c:f>
              <c:numCache>
                <c:formatCode>#,##0_);\(#,##0\)</c:formatCode>
                <c:ptCount val="39"/>
                <c:pt idx="0">
                  <c:v>10</c:v>
                </c:pt>
                <c:pt idx="1">
                  <c:v>10</c:v>
                </c:pt>
                <c:pt idx="2">
                  <c:v>10</c:v>
                </c:pt>
                <c:pt idx="3">
                  <c:v>10</c:v>
                </c:pt>
                <c:pt idx="4">
                  <c:v>10</c:v>
                </c:pt>
                <c:pt idx="5">
                  <c:v>10</c:v>
                </c:pt>
                <c:pt idx="6">
                  <c:v>10</c:v>
                </c:pt>
                <c:pt idx="7">
                  <c:v>10</c:v>
                </c:pt>
                <c:pt idx="8">
                  <c:v>10</c:v>
                </c:pt>
                <c:pt idx="9">
                  <c:v>10</c:v>
                </c:pt>
                <c:pt idx="10">
                  <c:v>10</c:v>
                </c:pt>
                <c:pt idx="11">
                  <c:v>10</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22</c:v>
                </c:pt>
                <c:pt idx="26">
                  <c:v>22</c:v>
                </c:pt>
                <c:pt idx="27">
                  <c:v>22</c:v>
                </c:pt>
                <c:pt idx="28">
                  <c:v>22</c:v>
                </c:pt>
                <c:pt idx="29">
                  <c:v>22</c:v>
                </c:pt>
                <c:pt idx="30">
                  <c:v>22</c:v>
                </c:pt>
                <c:pt idx="31">
                  <c:v>22</c:v>
                </c:pt>
                <c:pt idx="32">
                  <c:v>22</c:v>
                </c:pt>
                <c:pt idx="33">
                  <c:v>22</c:v>
                </c:pt>
                <c:pt idx="34">
                  <c:v>22</c:v>
                </c:pt>
                <c:pt idx="35">
                  <c:v>22</c:v>
                </c:pt>
                <c:pt idx="36">
                  <c:v>32</c:v>
                </c:pt>
                <c:pt idx="37">
                  <c:v>32</c:v>
                </c:pt>
                <c:pt idx="38">
                  <c:v>32</c:v>
                </c:pt>
              </c:numCache>
            </c:numRef>
          </c:xVal>
          <c:yVal>
            <c:numRef>
              <c:f>'12.Water Consump. Charts_Data'!$R$76:$R$114</c:f>
              <c:numCache>
                <c:formatCode>0.0</c:formatCode>
                <c:ptCount val="39"/>
                <c:pt idx="0">
                  <c:v>2.4000000000000004</c:v>
                </c:pt>
                <c:pt idx="1">
                  <c:v>2.4000000000000004</c:v>
                </c:pt>
                <c:pt idx="2">
                  <c:v>2.4000000000000004</c:v>
                </c:pt>
                <c:pt idx="3">
                  <c:v>2.4000000000000004</c:v>
                </c:pt>
                <c:pt idx="4">
                  <c:v>2.4000000000000004</c:v>
                </c:pt>
                <c:pt idx="5">
                  <c:v>2.4000000000000004</c:v>
                </c:pt>
                <c:pt idx="6">
                  <c:v>2.4000000000000004</c:v>
                </c:pt>
                <c:pt idx="7">
                  <c:v>2.4000000000000004</c:v>
                </c:pt>
                <c:pt idx="8">
                  <c:v>2.4000000000000004</c:v>
                </c:pt>
                <c:pt idx="9">
                  <c:v>2.4000000000000004</c:v>
                </c:pt>
                <c:pt idx="10">
                  <c:v>2.4000000000000004</c:v>
                </c:pt>
                <c:pt idx="11">
                  <c:v>2.4000000000000004</c:v>
                </c:pt>
                <c:pt idx="12">
                  <c:v>2.4000000000000004</c:v>
                </c:pt>
                <c:pt idx="13">
                  <c:v>2.4000000000000004</c:v>
                </c:pt>
                <c:pt idx="14">
                  <c:v>2.4000000000000004</c:v>
                </c:pt>
                <c:pt idx="15">
                  <c:v>2.4000000000000004</c:v>
                </c:pt>
                <c:pt idx="16">
                  <c:v>2.4000000000000004</c:v>
                </c:pt>
                <c:pt idx="17">
                  <c:v>2.4000000000000004</c:v>
                </c:pt>
                <c:pt idx="18">
                  <c:v>2.4000000000000004</c:v>
                </c:pt>
                <c:pt idx="19">
                  <c:v>2.4000000000000004</c:v>
                </c:pt>
                <c:pt idx="20">
                  <c:v>2.4000000000000004</c:v>
                </c:pt>
                <c:pt idx="21">
                  <c:v>2.4000000000000004</c:v>
                </c:pt>
                <c:pt idx="22">
                  <c:v>2.4000000000000004</c:v>
                </c:pt>
                <c:pt idx="23">
                  <c:v>2.4000000000000004</c:v>
                </c:pt>
                <c:pt idx="24">
                  <c:v>2.4000000000000004</c:v>
                </c:pt>
                <c:pt idx="25">
                  <c:v>2.1333333333333333</c:v>
                </c:pt>
                <c:pt idx="26">
                  <c:v>2.1333333333333333</c:v>
                </c:pt>
                <c:pt idx="27">
                  <c:v>2.1333333333333333</c:v>
                </c:pt>
                <c:pt idx="28">
                  <c:v>2.1333333333333333</c:v>
                </c:pt>
                <c:pt idx="29">
                  <c:v>2.1333333333333333</c:v>
                </c:pt>
                <c:pt idx="30">
                  <c:v>2.1333333333333333</c:v>
                </c:pt>
                <c:pt idx="31">
                  <c:v>2.1333333333333333</c:v>
                </c:pt>
                <c:pt idx="32">
                  <c:v>2.1333333333333333</c:v>
                </c:pt>
                <c:pt idx="33">
                  <c:v>2.1333333333333333</c:v>
                </c:pt>
                <c:pt idx="34">
                  <c:v>2.1333333333333333</c:v>
                </c:pt>
                <c:pt idx="35">
                  <c:v>2.1333333333333333</c:v>
                </c:pt>
                <c:pt idx="36">
                  <c:v>1.6</c:v>
                </c:pt>
                <c:pt idx="37">
                  <c:v>1.6</c:v>
                </c:pt>
                <c:pt idx="38">
                  <c:v>1.6</c:v>
                </c:pt>
              </c:numCache>
            </c:numRef>
          </c:yVal>
          <c:smooth val="0"/>
          <c:extLst>
            <c:ext xmlns:c16="http://schemas.microsoft.com/office/drawing/2014/chart" uri="{C3380CC4-5D6E-409C-BE32-E72D297353CC}">
              <c16:uniqueId val="{00000002-965C-42DF-810A-8E92F23F8945}"/>
            </c:ext>
          </c:extLst>
        </c:ser>
        <c:ser>
          <c:idx val="5"/>
          <c:order val="5"/>
          <c:tx>
            <c:v>Proposed Water Consumption Limit</c:v>
          </c:tx>
          <c:spPr>
            <a:ln w="25400" cap="rnd">
              <a:solidFill>
                <a:srgbClr val="70AD47">
                  <a:lumMod val="60000"/>
                  <a:lumOff val="40000"/>
                </a:srgbClr>
              </a:solidFill>
              <a:round/>
            </a:ln>
            <a:effectLst/>
          </c:spPr>
          <c:marker>
            <c:symbol val="none"/>
          </c:marker>
          <c:xVal>
            <c:numRef>
              <c:f>'12.Water Consump. Charts_Data'!$X$2:$X$3</c:f>
              <c:numCache>
                <c:formatCode>General</c:formatCode>
                <c:ptCount val="2"/>
                <c:pt idx="0">
                  <c:v>0</c:v>
                </c:pt>
                <c:pt idx="1">
                  <c:v>40</c:v>
                </c:pt>
              </c:numCache>
            </c:numRef>
          </c:xVal>
          <c:yVal>
            <c:numRef>
              <c:f>'12.Water Consump. Charts_Data'!$Y$2:$Y$3</c:f>
              <c:numCache>
                <c:formatCode>General</c:formatCode>
                <c:ptCount val="2"/>
                <c:pt idx="0">
                  <c:v>0.5</c:v>
                </c:pt>
                <c:pt idx="1">
                  <c:v>0.5</c:v>
                </c:pt>
              </c:numCache>
            </c:numRef>
          </c:yVal>
          <c:smooth val="0"/>
          <c:extLst>
            <c:ext xmlns:c16="http://schemas.microsoft.com/office/drawing/2014/chart" uri="{C3380CC4-5D6E-409C-BE32-E72D297353CC}">
              <c16:uniqueId val="{00000001-3BCF-4704-997B-CBF927969385}"/>
            </c:ext>
          </c:extLst>
        </c:ser>
        <c:dLbls>
          <c:showLegendKey val="0"/>
          <c:showVal val="0"/>
          <c:showCatName val="0"/>
          <c:showSerName val="0"/>
          <c:showPercent val="0"/>
          <c:showBubbleSize val="0"/>
        </c:dLbls>
        <c:axId val="1308162111"/>
        <c:axId val="1308162527"/>
      </c:scatterChart>
      <c:valAx>
        <c:axId val="1308162111"/>
        <c:scaling>
          <c:orientation val="minMax"/>
          <c:max val="4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Steam Pan</a:t>
                </a:r>
                <a:r>
                  <a:rPr lang="en-US" baseline="0"/>
                  <a:t> Capacity</a:t>
                </a:r>
                <a:endParaRPr lang="en-US"/>
              </a:p>
            </c:rich>
          </c:tx>
          <c:layout>
            <c:manualLayout>
              <c:xMode val="edge"/>
              <c:yMode val="edge"/>
              <c:x val="0.42756703068397461"/>
              <c:y val="0.9514332090067687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8162527"/>
        <c:crosses val="autoZero"/>
        <c:crossBetween val="midCat"/>
      </c:valAx>
      <c:valAx>
        <c:axId val="1308162527"/>
        <c:scaling>
          <c:orientation val="minMax"/>
          <c:max val="4.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Gallons Per Pan</a:t>
                </a:r>
              </a:p>
            </c:rich>
          </c:tx>
          <c:layout>
            <c:manualLayout>
              <c:xMode val="edge"/>
              <c:yMode val="edge"/>
              <c:x val="1.0256410256410256E-2"/>
              <c:y val="0.4213870281538492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8162111"/>
        <c:crosses val="autoZero"/>
        <c:crossBetween val="midCat"/>
        <c:majorUnit val="0.5"/>
      </c:valAx>
      <c:spPr>
        <a:noFill/>
        <a:ln>
          <a:noFill/>
        </a:ln>
        <a:effectLst/>
      </c:spPr>
    </c:plotArea>
    <c:legend>
      <c:legendPos val="t"/>
      <c:layout>
        <c:manualLayout>
          <c:xMode val="edge"/>
          <c:yMode val="edge"/>
          <c:x val="0"/>
          <c:y val="0.13025170763778079"/>
          <c:w val="1"/>
          <c:h val="9.388908180652615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2800" b="1" i="0" u="none" strike="noStrike" kern="1200" spc="0" baseline="0">
                <a:solidFill>
                  <a:schemeClr val="tx1">
                    <a:lumMod val="65000"/>
                    <a:lumOff val="35000"/>
                  </a:schemeClr>
                </a:solidFill>
                <a:latin typeface="+mn-lt"/>
                <a:ea typeface="+mn-ea"/>
                <a:cs typeface="+mn-cs"/>
              </a:defRPr>
            </a:pPr>
            <a:r>
              <a:rPr lang="en-US" sz="2800" b="1" i="0" baseline="0">
                <a:effectLst/>
              </a:rPr>
              <a:t>2019 and 2020 ENERGY STAR Estimated Market Share for Current Oven Subcategories v2.2 </a:t>
            </a:r>
            <a:endParaRPr lang="en-US" sz="2800">
              <a:effectLst/>
            </a:endParaRPr>
          </a:p>
        </c:rich>
      </c:tx>
      <c:layout>
        <c:manualLayout>
          <c:xMode val="edge"/>
          <c:yMode val="edge"/>
          <c:x val="0.1402024581318542"/>
          <c:y val="0"/>
        </c:manualLayout>
      </c:layout>
      <c:overlay val="0"/>
      <c:spPr>
        <a:noFill/>
        <a:ln>
          <a:noFill/>
        </a:ln>
        <a:effectLst/>
      </c:spPr>
      <c:txPr>
        <a:bodyPr rot="0" spcFirstLastPara="1" vertOverflow="ellipsis" vert="horz" wrap="square" anchor="ctr" anchorCtr="1"/>
        <a:lstStyle/>
        <a:p>
          <a:pPr>
            <a:defRPr sz="28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4.2269482669806464E-2"/>
          <c:y val="0.18861618798955612"/>
          <c:w val="0.95219226880129082"/>
          <c:h val="0.69238187263145634"/>
        </c:manualLayout>
      </c:layout>
      <c:barChart>
        <c:barDir val="col"/>
        <c:grouping val="clustered"/>
        <c:varyColors val="0"/>
        <c:ser>
          <c:idx val="1"/>
          <c:order val="0"/>
          <c:tx>
            <c:v>2019 USD</c:v>
          </c:tx>
          <c:spPr>
            <a:pattFill prst="wdUpDiag">
              <a:fgClr>
                <a:srgbClr val="1F497D">
                  <a:lumMod val="60000"/>
                  <a:lumOff val="40000"/>
                </a:srgbClr>
              </a:fgClr>
              <a:bgClr>
                <a:sysClr val="window" lastClr="FFFFFF"/>
              </a:bgClr>
            </a:pattFill>
            <a:ln w="28575">
              <a:solidFill>
                <a:srgbClr val="1F497D"/>
              </a:solid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[1]Ovens!$D$52:$D$60</c:f>
              <c:numCache>
                <c:formatCode>General</c:formatCode>
                <c:ptCount val="9"/>
                <c:pt idx="0">
                  <c:v>0.4688366982557341</c:v>
                </c:pt>
                <c:pt idx="1">
                  <c:v>0.73392603129445233</c:v>
                </c:pt>
                <c:pt idx="2">
                  <c:v>0.27111613876319757</c:v>
                </c:pt>
                <c:pt idx="3">
                  <c:v>0.71371206225680939</c:v>
                </c:pt>
                <c:pt idx="4">
                  <c:v>0.4743362831858407</c:v>
                </c:pt>
                <c:pt idx="5">
                  <c:v>0.67171717171717171</c:v>
                </c:pt>
                <c:pt idx="6">
                  <c:v>0.57228714524207014</c:v>
                </c:pt>
                <c:pt idx="7">
                  <c:v>0.21457905544147843</c:v>
                </c:pt>
                <c:pt idx="8">
                  <c:v>0.25291695264241593</c:v>
                </c:pt>
              </c:numCache>
            </c:numRef>
          </c:val>
          <c:extLst>
            <c:ext xmlns:c16="http://schemas.microsoft.com/office/drawing/2014/chart" uri="{C3380CC4-5D6E-409C-BE32-E72D297353CC}">
              <c16:uniqueId val="{00000000-DDF8-4AE1-ABD3-EF1AC7C25358}"/>
            </c:ext>
          </c:extLst>
        </c:ser>
        <c:ser>
          <c:idx val="0"/>
          <c:order val="1"/>
          <c:tx>
            <c:v>2020 USD</c:v>
          </c:tx>
          <c:spPr>
            <a:solidFill>
              <a:schemeClr val="accent1"/>
            </a:solidFill>
            <a:ln>
              <a:noFill/>
            </a:ln>
            <a:effectLst/>
          </c:spPr>
          <c:invertIfNegative val="0"/>
          <c:dLbls>
            <c:dLbl>
              <c:idx val="0"/>
              <c:layout>
                <c:manualLayout>
                  <c:x val="7.4266612812650117E-4"/>
                  <c:y val="-4.164869405742646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DF8-4AE1-ABD3-EF1AC7C25358}"/>
                </c:ext>
              </c:extLst>
            </c:dLbl>
            <c:dLbl>
              <c:idx val="1"/>
              <c:layout>
                <c:manualLayout>
                  <c:x val="-4.125596972725466E-17"/>
                  <c:y val="7.023705004389783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DF8-4AE1-ABD3-EF1AC7C25358}"/>
                </c:ext>
              </c:extLst>
            </c:dLbl>
            <c:dLbl>
              <c:idx val="2"/>
              <c:layout>
                <c:manualLayout>
                  <c:x val="1.2426500175345226E-4"/>
                  <c:y val="-7.04538850497061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DF8-4AE1-ABD3-EF1AC7C25358}"/>
                </c:ext>
              </c:extLst>
            </c:dLbl>
            <c:dLbl>
              <c:idx val="5"/>
              <c:layout>
                <c:manualLayout>
                  <c:x val="-9.1605040037172889E-4"/>
                  <c:y val="-1.214574898785428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DF8-4AE1-ABD3-EF1AC7C25358}"/>
                </c:ext>
              </c:extLst>
            </c:dLbl>
            <c:dLbl>
              <c:idx val="6"/>
              <c:layout>
                <c:manualLayout>
                  <c:x val="5.692799021505214E-4"/>
                  <c:y val="-3.853050919544073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DF8-4AE1-ABD3-EF1AC7C25358}"/>
                </c:ext>
              </c:extLst>
            </c:dLbl>
            <c:dLbl>
              <c:idx val="7"/>
              <c:layout>
                <c:manualLayout>
                  <c:x val="2.9706645125061677E-3"/>
                  <c:y val="5.2026304861703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DF8-4AE1-ABD3-EF1AC7C25358}"/>
                </c:ext>
              </c:extLst>
            </c:dLbl>
            <c:dLbl>
              <c:idx val="8"/>
              <c:layout>
                <c:manualLayout>
                  <c:x val="0"/>
                  <c:y val="3.38917402531168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DF8-4AE1-ABD3-EF1AC7C25358}"/>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1800" b="1" i="1"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9"/>
              <c:pt idx="0">
                <c:v>Full-Size Gas              Convection</c:v>
              </c:pt>
              <c:pt idx="1">
                <c:v>Full-Size Electric          Convection</c:v>
              </c:pt>
              <c:pt idx="2">
                <c:v>Half-Size Electric      Convection</c:v>
              </c:pt>
              <c:pt idx="3">
                <c:v>Full-Size Gas                     Combi</c:v>
              </c:pt>
              <c:pt idx="4">
                <c:v>Half-Size Gas                       Combi</c:v>
              </c:pt>
              <c:pt idx="5">
                <c:v>Full-Size Electric                  Combi</c:v>
              </c:pt>
              <c:pt idx="6">
                <c:v>Half-Size Electric            Combi </c:v>
              </c:pt>
              <c:pt idx="7">
                <c:v>Single-Size Gas Rack </c:v>
              </c:pt>
              <c:pt idx="8">
                <c:v>Double-Size Gas Rack</c:v>
              </c:pt>
            </c:strLit>
          </c:cat>
          <c:val>
            <c:numRef>
              <c:f>[1]Ovens!$E$52:$E$60</c:f>
              <c:numCache>
                <c:formatCode>General</c:formatCode>
                <c:ptCount val="9"/>
                <c:pt idx="0">
                  <c:v>0.47743196092114443</c:v>
                </c:pt>
                <c:pt idx="1">
                  <c:v>0.66845731636108841</c:v>
                </c:pt>
                <c:pt idx="2">
                  <c:v>0.3336159113139876</c:v>
                </c:pt>
                <c:pt idx="3">
                  <c:v>0.68253358925143959</c:v>
                </c:pt>
                <c:pt idx="4">
                  <c:v>0.5106976744186047</c:v>
                </c:pt>
                <c:pt idx="5">
                  <c:v>0.63179777935270498</c:v>
                </c:pt>
                <c:pt idx="6">
                  <c:v>0.70489662676822629</c:v>
                </c:pt>
                <c:pt idx="7">
                  <c:v>0.16093750000000001</c:v>
                </c:pt>
                <c:pt idx="8">
                  <c:v>0.24922360248447206</c:v>
                </c:pt>
              </c:numCache>
            </c:numRef>
          </c:val>
          <c:extLst>
            <c:ext xmlns:c16="http://schemas.microsoft.com/office/drawing/2014/chart" uri="{C3380CC4-5D6E-409C-BE32-E72D297353CC}">
              <c16:uniqueId val="{00000008-DDF8-4AE1-ABD3-EF1AC7C25358}"/>
            </c:ext>
          </c:extLst>
        </c:ser>
        <c:dLbls>
          <c:showLegendKey val="0"/>
          <c:showVal val="0"/>
          <c:showCatName val="0"/>
          <c:showSerName val="0"/>
          <c:showPercent val="0"/>
          <c:showBubbleSize val="0"/>
        </c:dLbls>
        <c:gapWidth val="86"/>
        <c:overlap val="-17"/>
        <c:axId val="1251834032"/>
        <c:axId val="1450096560"/>
      </c:barChart>
      <c:catAx>
        <c:axId val="1251834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crossAx val="1450096560"/>
        <c:crosses val="autoZero"/>
        <c:auto val="1"/>
        <c:lblAlgn val="ctr"/>
        <c:lblOffset val="100"/>
        <c:noMultiLvlLbl val="0"/>
      </c:catAx>
      <c:valAx>
        <c:axId val="1450096560"/>
        <c:scaling>
          <c:orientation val="minMax"/>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crossAx val="1251834032"/>
        <c:crosses val="autoZero"/>
        <c:crossBetween val="between"/>
      </c:valAx>
      <c:spPr>
        <a:noFill/>
        <a:ln>
          <a:noFill/>
        </a:ln>
        <a:effectLst/>
      </c:spPr>
    </c:plotArea>
    <c:legend>
      <c:legendPos val="t"/>
      <c:layout>
        <c:manualLayout>
          <c:xMode val="edge"/>
          <c:yMode val="edge"/>
          <c:x val="0.40409329456229043"/>
          <c:y val="5.9720718220656388E-2"/>
          <c:w val="0.18072865763073687"/>
          <c:h val="4.8157669301979046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Steam Mode Idle </a:t>
            </a:r>
          </a:p>
        </c:rich>
      </c:tx>
      <c:layout>
        <c:manualLayout>
          <c:xMode val="edge"/>
          <c:yMode val="edge"/>
          <c:x val="0.32591325798873272"/>
          <c:y val="1.7533168968317243E-3"/>
        </c:manualLayout>
      </c:layout>
      <c:overlay val="0"/>
      <c:spPr>
        <a:solidFill>
          <a:sysClr val="window" lastClr="FFFFFF"/>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6728977581204426E-2"/>
          <c:y val="6.4465324296189008E-2"/>
          <c:w val="0.72551945309676524"/>
          <c:h val="0.84347475217403511"/>
        </c:manualLayout>
      </c:layout>
      <c:scatterChart>
        <c:scatterStyle val="lineMarker"/>
        <c:varyColors val="0"/>
        <c:ser>
          <c:idx val="2"/>
          <c:order val="0"/>
          <c:tx>
            <c:v>New Idle Max</c:v>
          </c:tx>
          <c:spPr>
            <a:ln w="41275" cap="rnd">
              <a:solidFill>
                <a:srgbClr val="70AD47">
                  <a:lumMod val="60000"/>
                  <a:lumOff val="40000"/>
                </a:srgbClr>
              </a:solidFill>
              <a:round/>
            </a:ln>
            <a:effectLst/>
          </c:spPr>
          <c:marker>
            <c:symbol val="none"/>
          </c:marker>
          <c:xVal>
            <c:numRef>
              <c:f>'Graph Electric combi Full+half'!$B$40:$B$41</c:f>
              <c:numCache>
                <c:formatCode>General</c:formatCode>
                <c:ptCount val="2"/>
                <c:pt idx="0">
                  <c:v>0</c:v>
                </c:pt>
                <c:pt idx="1">
                  <c:v>40</c:v>
                </c:pt>
              </c:numCache>
            </c:numRef>
          </c:xVal>
          <c:yVal>
            <c:numRef>
              <c:f>'Graph Electric combi Full+half'!$C$40:$C$41</c:f>
              <c:numCache>
                <c:formatCode>General</c:formatCode>
                <c:ptCount val="2"/>
                <c:pt idx="0">
                  <c:v>0.64</c:v>
                </c:pt>
                <c:pt idx="1">
                  <c:v>5.96</c:v>
                </c:pt>
              </c:numCache>
            </c:numRef>
          </c:yVal>
          <c:smooth val="0"/>
          <c:extLst>
            <c:ext xmlns:c16="http://schemas.microsoft.com/office/drawing/2014/chart" uri="{C3380CC4-5D6E-409C-BE32-E72D297353CC}">
              <c16:uniqueId val="{00000000-78B2-4193-84DA-5B5D8FD53DA7}"/>
            </c:ext>
          </c:extLst>
        </c:ser>
        <c:ser>
          <c:idx val="5"/>
          <c:order val="1"/>
          <c:tx>
            <c:v>Current Max</c:v>
          </c:tx>
          <c:spPr>
            <a:ln w="19050" cap="rnd">
              <a:solidFill>
                <a:sysClr val="windowText" lastClr="000000"/>
              </a:solidFill>
              <a:prstDash val="dash"/>
              <a:round/>
            </a:ln>
            <a:effectLst/>
          </c:spPr>
          <c:marker>
            <c:symbol val="none"/>
          </c:marker>
          <c:xVal>
            <c:numRef>
              <c:f>'Graph Electric combi Full+half'!$A$49:$A$50</c:f>
              <c:numCache>
                <c:formatCode>General</c:formatCode>
                <c:ptCount val="2"/>
                <c:pt idx="0">
                  <c:v>0</c:v>
                </c:pt>
                <c:pt idx="1">
                  <c:v>40</c:v>
                </c:pt>
              </c:numCache>
            </c:numRef>
          </c:xVal>
          <c:yVal>
            <c:numRef>
              <c:f>'Graph Electric combi Full+half'!$B$49:$B$50</c:f>
              <c:numCache>
                <c:formatCode>General</c:formatCode>
                <c:ptCount val="2"/>
                <c:pt idx="0">
                  <c:v>0.64</c:v>
                </c:pt>
                <c:pt idx="1">
                  <c:v>5.96</c:v>
                </c:pt>
              </c:numCache>
            </c:numRef>
          </c:yVal>
          <c:smooth val="0"/>
          <c:extLst>
            <c:ext xmlns:c16="http://schemas.microsoft.com/office/drawing/2014/chart" uri="{C3380CC4-5D6E-409C-BE32-E72D297353CC}">
              <c16:uniqueId val="{00000001-78B2-4193-84DA-5B5D8FD53DA7}"/>
            </c:ext>
          </c:extLst>
        </c:ser>
        <c:ser>
          <c:idx val="1"/>
          <c:order val="2"/>
          <c:tx>
            <c:v>Alto-Shaam</c:v>
          </c:tx>
          <c:spPr>
            <a:ln w="19050" cap="rnd">
              <a:noFill/>
              <a:round/>
            </a:ln>
            <a:effectLst/>
          </c:spPr>
          <c:marker>
            <c:symbol val="square"/>
            <c:size val="30"/>
            <c:spPr>
              <a:solidFill>
                <a:srgbClr val="E7E6E6">
                  <a:lumMod val="90000"/>
                </a:srgbClr>
              </a:solidFill>
              <a:ln w="6350">
                <a:solidFill>
                  <a:sysClr val="windowText" lastClr="000000"/>
                </a:solidFill>
              </a:ln>
              <a:effectLst/>
            </c:spPr>
          </c:marker>
          <c:xVal>
            <c:numRef>
              <c:f>'OldData_full+half_combiE'!$N$3:$N$5</c:f>
              <c:numCache>
                <c:formatCode>#,##0_);\(#,##0\)</c:formatCode>
                <c:ptCount val="3"/>
                <c:pt idx="0">
                  <c:v>14</c:v>
                </c:pt>
                <c:pt idx="1">
                  <c:v>14</c:v>
                </c:pt>
                <c:pt idx="2">
                  <c:v>14</c:v>
                </c:pt>
              </c:numCache>
            </c:numRef>
          </c:xVal>
          <c:yVal>
            <c:numRef>
              <c:f>'OldData_full+half_combiE'!$J$3:$J$5</c:f>
              <c:numCache>
                <c:formatCode>0.00</c:formatCode>
                <c:ptCount val="3"/>
                <c:pt idx="0">
                  <c:v>1.18</c:v>
                </c:pt>
                <c:pt idx="1">
                  <c:v>0.92</c:v>
                </c:pt>
                <c:pt idx="2">
                  <c:v>2.13</c:v>
                </c:pt>
              </c:numCache>
            </c:numRef>
          </c:yVal>
          <c:smooth val="0"/>
          <c:extLst xmlns:c15="http://schemas.microsoft.com/office/drawing/2012/chart">
            <c:ext xmlns:c16="http://schemas.microsoft.com/office/drawing/2014/chart" uri="{C3380CC4-5D6E-409C-BE32-E72D297353CC}">
              <c16:uniqueId val="{00000002-78B2-4193-84DA-5B5D8FD53DA7}"/>
            </c:ext>
          </c:extLst>
        </c:ser>
        <c:ser>
          <c:idx val="4"/>
          <c:order val="3"/>
          <c:tx>
            <c:v>BKI</c:v>
          </c:tx>
          <c:spPr>
            <a:ln w="19050" cap="rnd">
              <a:noFill/>
              <a:round/>
            </a:ln>
            <a:effectLst/>
          </c:spPr>
          <c:marker>
            <c:symbol val="circle"/>
            <c:size val="40"/>
            <c:spPr>
              <a:solidFill>
                <a:srgbClr val="2276E6"/>
              </a:solidFill>
              <a:ln w="6350">
                <a:solidFill>
                  <a:sysClr val="windowText" lastClr="000000"/>
                </a:solidFill>
              </a:ln>
              <a:effectLst/>
            </c:spPr>
          </c:marker>
          <c:xVal>
            <c:numRef>
              <c:f>'OldData_full+half_combiE'!$N$9:$N$13</c:f>
              <c:numCache>
                <c:formatCode>#,##0_);\(#,##0\)</c:formatCode>
                <c:ptCount val="5"/>
                <c:pt idx="0">
                  <c:v>20</c:v>
                </c:pt>
                <c:pt idx="1">
                  <c:v>12</c:v>
                </c:pt>
                <c:pt idx="2">
                  <c:v>10</c:v>
                </c:pt>
                <c:pt idx="3">
                  <c:v>20</c:v>
                </c:pt>
                <c:pt idx="4">
                  <c:v>6</c:v>
                </c:pt>
              </c:numCache>
            </c:numRef>
          </c:xVal>
          <c:yVal>
            <c:numRef>
              <c:f>'OldData_full+half_combiE'!$J$9:$J$13</c:f>
              <c:numCache>
                <c:formatCode>0.00</c:formatCode>
                <c:ptCount val="5"/>
                <c:pt idx="0">
                  <c:v>5.31</c:v>
                </c:pt>
                <c:pt idx="1">
                  <c:v>1.1299999999999999</c:v>
                </c:pt>
                <c:pt idx="2">
                  <c:v>1.1499999999999999</c:v>
                </c:pt>
                <c:pt idx="3">
                  <c:v>1.81</c:v>
                </c:pt>
                <c:pt idx="4">
                  <c:v>0.98</c:v>
                </c:pt>
              </c:numCache>
            </c:numRef>
          </c:yVal>
          <c:smooth val="0"/>
          <c:extLst xmlns:c15="http://schemas.microsoft.com/office/drawing/2012/chart">
            <c:ext xmlns:c16="http://schemas.microsoft.com/office/drawing/2014/chart" uri="{C3380CC4-5D6E-409C-BE32-E72D297353CC}">
              <c16:uniqueId val="{00000003-78B2-4193-84DA-5B5D8FD53DA7}"/>
            </c:ext>
          </c:extLst>
        </c:ser>
        <c:ser>
          <c:idx val="3"/>
          <c:order val="4"/>
          <c:tx>
            <c:v>Angelo Po</c:v>
          </c:tx>
          <c:spPr>
            <a:ln w="19050" cap="rnd">
              <a:noFill/>
              <a:round/>
            </a:ln>
            <a:effectLst/>
          </c:spPr>
          <c:marker>
            <c:symbol val="triangle"/>
            <c:size val="32"/>
            <c:spPr>
              <a:solidFill>
                <a:srgbClr val="E7E6E6">
                  <a:lumMod val="90000"/>
                </a:srgbClr>
              </a:solidFill>
              <a:ln w="6350">
                <a:solidFill>
                  <a:sysClr val="windowText" lastClr="000000"/>
                </a:solidFill>
              </a:ln>
              <a:effectLst/>
            </c:spPr>
          </c:marker>
          <c:xVal>
            <c:numRef>
              <c:f>'OldData_full+half_combiE'!$N$6:$N$8</c:f>
              <c:numCache>
                <c:formatCode>#,##0_);\(#,##0\)</c:formatCode>
                <c:ptCount val="3"/>
                <c:pt idx="0">
                  <c:v>16</c:v>
                </c:pt>
                <c:pt idx="1">
                  <c:v>24</c:v>
                </c:pt>
                <c:pt idx="2">
                  <c:v>40</c:v>
                </c:pt>
              </c:numCache>
            </c:numRef>
          </c:xVal>
          <c:yVal>
            <c:numRef>
              <c:f>'OldData_full+half_combiE'!$J$6:$J$8</c:f>
              <c:numCache>
                <c:formatCode>0.00</c:formatCode>
                <c:ptCount val="3"/>
                <c:pt idx="0">
                  <c:v>2.57</c:v>
                </c:pt>
                <c:pt idx="1">
                  <c:v>3.1</c:v>
                </c:pt>
                <c:pt idx="2">
                  <c:v>5.43</c:v>
                </c:pt>
              </c:numCache>
            </c:numRef>
          </c:yVal>
          <c:smooth val="0"/>
          <c:extLst xmlns:c15="http://schemas.microsoft.com/office/drawing/2012/chart">
            <c:ext xmlns:c16="http://schemas.microsoft.com/office/drawing/2014/chart" uri="{C3380CC4-5D6E-409C-BE32-E72D297353CC}">
              <c16:uniqueId val="{00000004-78B2-4193-84DA-5B5D8FD53DA7}"/>
            </c:ext>
          </c:extLst>
        </c:ser>
        <c:ser>
          <c:idx val="0"/>
          <c:order val="5"/>
          <c:tx>
            <c:v>AccuTemp</c:v>
          </c:tx>
          <c:spPr>
            <a:ln w="19050" cap="rnd">
              <a:noFill/>
              <a:round/>
            </a:ln>
            <a:effectLst/>
          </c:spPr>
          <c:marker>
            <c:symbol val="diamond"/>
            <c:size val="34"/>
            <c:spPr>
              <a:solidFill>
                <a:srgbClr val="E7E6E6">
                  <a:lumMod val="90000"/>
                </a:srgbClr>
              </a:solidFill>
              <a:ln w="6350">
                <a:solidFill>
                  <a:sysClr val="windowText" lastClr="000000"/>
                </a:solidFill>
              </a:ln>
              <a:effectLst/>
            </c:spPr>
          </c:marker>
          <c:xVal>
            <c:numRef>
              <c:f>'OldData_full+half_combiE'!$N$2</c:f>
              <c:numCache>
                <c:formatCode>#,##0_);\(#,##0\)</c:formatCode>
                <c:ptCount val="1"/>
                <c:pt idx="0">
                  <c:v>12</c:v>
                </c:pt>
              </c:numCache>
            </c:numRef>
          </c:xVal>
          <c:yVal>
            <c:numRef>
              <c:f>'OldData_full+half_combiE'!$J$2</c:f>
              <c:numCache>
                <c:formatCode>0.00</c:formatCode>
                <c:ptCount val="1"/>
                <c:pt idx="0">
                  <c:v>1.25</c:v>
                </c:pt>
              </c:numCache>
            </c:numRef>
          </c:yVal>
          <c:smooth val="0"/>
          <c:extLst xmlns:c15="http://schemas.microsoft.com/office/drawing/2012/chart">
            <c:ext xmlns:c16="http://schemas.microsoft.com/office/drawing/2014/chart" uri="{C3380CC4-5D6E-409C-BE32-E72D297353CC}">
              <c16:uniqueId val="{00000005-78B2-4193-84DA-5B5D8FD53DA7}"/>
            </c:ext>
          </c:extLst>
        </c:ser>
        <c:ser>
          <c:idx val="6"/>
          <c:order val="6"/>
          <c:tx>
            <c:v>Blodgett</c:v>
          </c:tx>
          <c:spPr>
            <a:ln w="19050" cap="rnd">
              <a:noFill/>
              <a:round/>
            </a:ln>
            <a:effectLst/>
          </c:spPr>
          <c:marker>
            <c:symbol val="diamond"/>
            <c:size val="40"/>
            <c:spPr>
              <a:pattFill prst="wdDnDiag">
                <a:fgClr>
                  <a:srgbClr val="2276E6"/>
                </a:fgClr>
                <a:bgClr>
                  <a:sysClr val="window" lastClr="FFFFFF"/>
                </a:bgClr>
              </a:pattFill>
              <a:ln w="6350">
                <a:solidFill>
                  <a:sysClr val="windowText" lastClr="000000"/>
                </a:solidFill>
              </a:ln>
              <a:effectLst/>
            </c:spPr>
          </c:marker>
          <c:xVal>
            <c:numRef>
              <c:f>'OldData_full+half_combiE'!$N$14:$N$21</c:f>
              <c:numCache>
                <c:formatCode>#,##0_);\(#,##0\)</c:formatCode>
                <c:ptCount val="8"/>
                <c:pt idx="0">
                  <c:v>6</c:v>
                </c:pt>
                <c:pt idx="1">
                  <c:v>4</c:v>
                </c:pt>
                <c:pt idx="2">
                  <c:v>4</c:v>
                </c:pt>
                <c:pt idx="3">
                  <c:v>5</c:v>
                </c:pt>
                <c:pt idx="4" formatCode="0">
                  <c:v>16</c:v>
                </c:pt>
                <c:pt idx="5">
                  <c:v>14</c:v>
                </c:pt>
                <c:pt idx="6">
                  <c:v>14</c:v>
                </c:pt>
                <c:pt idx="7">
                  <c:v>8</c:v>
                </c:pt>
              </c:numCache>
            </c:numRef>
          </c:xVal>
          <c:yVal>
            <c:numRef>
              <c:f>'OldData_full+half_combiE'!$J$14:$J$21</c:f>
              <c:numCache>
                <c:formatCode>0.00</c:formatCode>
                <c:ptCount val="8"/>
                <c:pt idx="0">
                  <c:v>1.59</c:v>
                </c:pt>
                <c:pt idx="1">
                  <c:v>1.23</c:v>
                </c:pt>
                <c:pt idx="2">
                  <c:v>3.16</c:v>
                </c:pt>
                <c:pt idx="3">
                  <c:v>5.05</c:v>
                </c:pt>
                <c:pt idx="4">
                  <c:v>9.9</c:v>
                </c:pt>
                <c:pt idx="5">
                  <c:v>26.4</c:v>
                </c:pt>
                <c:pt idx="6">
                  <c:v>3.14</c:v>
                </c:pt>
                <c:pt idx="7">
                  <c:v>6.3</c:v>
                </c:pt>
              </c:numCache>
            </c:numRef>
          </c:yVal>
          <c:smooth val="0"/>
          <c:extLst xmlns:c15="http://schemas.microsoft.com/office/drawing/2012/chart">
            <c:ext xmlns:c16="http://schemas.microsoft.com/office/drawing/2014/chart" uri="{C3380CC4-5D6E-409C-BE32-E72D297353CC}">
              <c16:uniqueId val="{00000006-78B2-4193-84DA-5B5D8FD53DA7}"/>
            </c:ext>
          </c:extLst>
        </c:ser>
        <c:ser>
          <c:idx val="7"/>
          <c:order val="7"/>
          <c:tx>
            <c:v>Convotherm</c:v>
          </c:tx>
          <c:spPr>
            <a:ln w="19050" cap="rnd">
              <a:noFill/>
              <a:round/>
            </a:ln>
            <a:effectLst/>
          </c:spPr>
          <c:marker>
            <c:symbol val="square"/>
            <c:size val="20"/>
            <c:spPr>
              <a:pattFill prst="pct50">
                <a:fgClr>
                  <a:srgbClr val="2276E6"/>
                </a:fgClr>
                <a:bgClr>
                  <a:sysClr val="window" lastClr="FFFFFF"/>
                </a:bgClr>
              </a:pattFill>
              <a:ln w="15875">
                <a:solidFill>
                  <a:sysClr val="windowText" lastClr="000000"/>
                </a:solidFill>
              </a:ln>
              <a:effectLst/>
            </c:spPr>
          </c:marker>
          <c:xVal>
            <c:numRef>
              <c:f>'OldData_full+half_combiE'!$N$22:$N$33</c:f>
              <c:numCache>
                <c:formatCode>#,##0_);\(#,##0\)</c:formatCode>
                <c:ptCount val="12"/>
                <c:pt idx="0">
                  <c:v>14</c:v>
                </c:pt>
                <c:pt idx="1">
                  <c:v>14</c:v>
                </c:pt>
                <c:pt idx="2">
                  <c:v>10</c:v>
                </c:pt>
                <c:pt idx="3">
                  <c:v>20</c:v>
                </c:pt>
                <c:pt idx="4">
                  <c:v>20</c:v>
                </c:pt>
                <c:pt idx="5">
                  <c:v>22</c:v>
                </c:pt>
                <c:pt idx="6">
                  <c:v>22</c:v>
                </c:pt>
                <c:pt idx="7">
                  <c:v>20</c:v>
                </c:pt>
                <c:pt idx="8">
                  <c:v>14</c:v>
                </c:pt>
                <c:pt idx="9">
                  <c:v>5</c:v>
                </c:pt>
                <c:pt idx="10">
                  <c:v>3</c:v>
                </c:pt>
                <c:pt idx="11">
                  <c:v>4</c:v>
                </c:pt>
              </c:numCache>
            </c:numRef>
          </c:xVal>
          <c:yVal>
            <c:numRef>
              <c:f>'OldData_full+half_combiE'!$J$22:$J$33</c:f>
              <c:numCache>
                <c:formatCode>0.00</c:formatCode>
                <c:ptCount val="12"/>
                <c:pt idx="0">
                  <c:v>1.85</c:v>
                </c:pt>
                <c:pt idx="1">
                  <c:v>1.41</c:v>
                </c:pt>
                <c:pt idx="2">
                  <c:v>0.71</c:v>
                </c:pt>
                <c:pt idx="3">
                  <c:v>2.52</c:v>
                </c:pt>
                <c:pt idx="4">
                  <c:v>1.56</c:v>
                </c:pt>
                <c:pt idx="5">
                  <c:v>2.52</c:v>
                </c:pt>
                <c:pt idx="6">
                  <c:v>1.56</c:v>
                </c:pt>
                <c:pt idx="7">
                  <c:v>2.6</c:v>
                </c:pt>
                <c:pt idx="8">
                  <c:v>2.0299999999999998</c:v>
                </c:pt>
                <c:pt idx="9">
                  <c:v>1.19</c:v>
                </c:pt>
                <c:pt idx="10">
                  <c:v>1.1000000000000001</c:v>
                </c:pt>
                <c:pt idx="11">
                  <c:v>0.89</c:v>
                </c:pt>
              </c:numCache>
            </c:numRef>
          </c:yVal>
          <c:smooth val="0"/>
          <c:extLst xmlns:c15="http://schemas.microsoft.com/office/drawing/2012/chart">
            <c:ext xmlns:c16="http://schemas.microsoft.com/office/drawing/2014/chart" uri="{C3380CC4-5D6E-409C-BE32-E72D297353CC}">
              <c16:uniqueId val="{00000007-78B2-4193-84DA-5B5D8FD53DA7}"/>
            </c:ext>
          </c:extLst>
        </c:ser>
        <c:ser>
          <c:idx val="10"/>
          <c:order val="8"/>
          <c:tx>
            <c:v>Henny Penny</c:v>
          </c:tx>
          <c:spPr>
            <a:ln w="19050" cap="rnd">
              <a:noFill/>
              <a:round/>
            </a:ln>
            <a:effectLst/>
          </c:spPr>
          <c:marker>
            <c:symbol val="diamond"/>
            <c:size val="32"/>
            <c:spPr>
              <a:pattFill prst="wdDnDiag">
                <a:fgClr>
                  <a:srgbClr val="00B050"/>
                </a:fgClr>
                <a:bgClr>
                  <a:sysClr val="window" lastClr="FFFFFF"/>
                </a:bgClr>
              </a:pattFill>
              <a:ln w="6350">
                <a:solidFill>
                  <a:sysClr val="windowText" lastClr="000000"/>
                </a:solidFill>
              </a:ln>
              <a:effectLst/>
            </c:spPr>
          </c:marker>
          <c:xVal>
            <c:numRef>
              <c:f>'OldData_full+half_combiE'!$N$46:$N$54</c:f>
              <c:numCache>
                <c:formatCode>#,##0_);\(#,##0\)</c:formatCode>
                <c:ptCount val="9"/>
                <c:pt idx="0">
                  <c:v>10</c:v>
                </c:pt>
                <c:pt idx="1">
                  <c:v>10</c:v>
                </c:pt>
                <c:pt idx="2">
                  <c:v>20</c:v>
                </c:pt>
                <c:pt idx="3">
                  <c:v>20</c:v>
                </c:pt>
                <c:pt idx="4">
                  <c:v>6</c:v>
                </c:pt>
                <c:pt idx="5">
                  <c:v>6</c:v>
                </c:pt>
                <c:pt idx="6">
                  <c:v>6</c:v>
                </c:pt>
                <c:pt idx="7">
                  <c:v>12</c:v>
                </c:pt>
                <c:pt idx="8">
                  <c:v>6</c:v>
                </c:pt>
              </c:numCache>
            </c:numRef>
          </c:xVal>
          <c:yVal>
            <c:numRef>
              <c:f>'OldData_full+half_combiE'!$J$46:$J$54</c:f>
              <c:numCache>
                <c:formatCode>0.00</c:formatCode>
                <c:ptCount val="9"/>
                <c:pt idx="0">
                  <c:v>1.64</c:v>
                </c:pt>
                <c:pt idx="1">
                  <c:v>3.56</c:v>
                </c:pt>
                <c:pt idx="2">
                  <c:v>2.13</c:v>
                </c:pt>
                <c:pt idx="3">
                  <c:v>3.24</c:v>
                </c:pt>
                <c:pt idx="4">
                  <c:v>1.0900000000000001</c:v>
                </c:pt>
                <c:pt idx="5">
                  <c:v>1.3</c:v>
                </c:pt>
                <c:pt idx="6">
                  <c:v>1.5</c:v>
                </c:pt>
                <c:pt idx="7">
                  <c:v>2.04</c:v>
                </c:pt>
                <c:pt idx="8">
                  <c:v>1.35</c:v>
                </c:pt>
              </c:numCache>
            </c:numRef>
          </c:yVal>
          <c:smooth val="0"/>
          <c:extLst xmlns:c15="http://schemas.microsoft.com/office/drawing/2012/chart">
            <c:ext xmlns:c16="http://schemas.microsoft.com/office/drawing/2014/chart" uri="{C3380CC4-5D6E-409C-BE32-E72D297353CC}">
              <c16:uniqueId val="{00000008-78B2-4193-84DA-5B5D8FD53DA7}"/>
            </c:ext>
          </c:extLst>
        </c:ser>
        <c:ser>
          <c:idx val="8"/>
          <c:order val="9"/>
          <c:tx>
            <c:v>Electrolux</c:v>
          </c:tx>
          <c:spPr>
            <a:ln w="19050" cap="rnd">
              <a:noFill/>
              <a:round/>
            </a:ln>
            <a:effectLst/>
          </c:spPr>
          <c:marker>
            <c:symbol val="triangle"/>
            <c:size val="26"/>
            <c:spPr>
              <a:solidFill>
                <a:srgbClr val="2276E6"/>
              </a:solidFill>
              <a:ln w="6350">
                <a:solidFill>
                  <a:sysClr val="windowText" lastClr="000000"/>
                </a:solidFill>
              </a:ln>
              <a:effectLst/>
            </c:spPr>
          </c:marker>
          <c:xVal>
            <c:numRef>
              <c:f>'OldData_full+half_combiE'!$N$34:$N$37</c:f>
              <c:numCache>
                <c:formatCode>#,##0_);\(#,##0\)</c:formatCode>
                <c:ptCount val="4"/>
                <c:pt idx="0">
                  <c:v>10</c:v>
                </c:pt>
                <c:pt idx="1">
                  <c:v>10</c:v>
                </c:pt>
                <c:pt idx="2">
                  <c:v>6</c:v>
                </c:pt>
                <c:pt idx="3">
                  <c:v>6</c:v>
                </c:pt>
              </c:numCache>
            </c:numRef>
          </c:xVal>
          <c:yVal>
            <c:numRef>
              <c:f>'OldData_full+half_combiE'!$J$34:$J$37</c:f>
              <c:numCache>
                <c:formatCode>0.00</c:formatCode>
                <c:ptCount val="4"/>
                <c:pt idx="0">
                  <c:v>0.95</c:v>
                </c:pt>
                <c:pt idx="1">
                  <c:v>1.94</c:v>
                </c:pt>
                <c:pt idx="2">
                  <c:v>0.9</c:v>
                </c:pt>
                <c:pt idx="3">
                  <c:v>1.42</c:v>
                </c:pt>
              </c:numCache>
            </c:numRef>
          </c:yVal>
          <c:smooth val="0"/>
          <c:extLst xmlns:c15="http://schemas.microsoft.com/office/drawing/2012/chart">
            <c:ext xmlns:c16="http://schemas.microsoft.com/office/drawing/2014/chart" uri="{C3380CC4-5D6E-409C-BE32-E72D297353CC}">
              <c16:uniqueId val="{00000009-78B2-4193-84DA-5B5D8FD53DA7}"/>
            </c:ext>
          </c:extLst>
        </c:ser>
        <c:ser>
          <c:idx val="9"/>
          <c:order val="10"/>
          <c:tx>
            <c:v>Eloma</c:v>
          </c:tx>
          <c:spPr>
            <a:ln w="19050" cap="rnd">
              <a:noFill/>
              <a:round/>
            </a:ln>
            <a:effectLst/>
          </c:spPr>
          <c:marker>
            <c:symbol val="circle"/>
            <c:size val="20"/>
            <c:spPr>
              <a:solidFill>
                <a:srgbClr val="00B050"/>
              </a:solidFill>
              <a:ln w="9525">
                <a:solidFill>
                  <a:sysClr val="windowText" lastClr="000000"/>
                </a:solidFill>
              </a:ln>
              <a:effectLst/>
            </c:spPr>
          </c:marker>
          <c:xVal>
            <c:numRef>
              <c:f>'OldData_full+half_combiE'!$N$38:$N$40</c:f>
              <c:numCache>
                <c:formatCode>#,##0_);\(#,##0\)</c:formatCode>
                <c:ptCount val="3"/>
                <c:pt idx="0">
                  <c:v>24</c:v>
                </c:pt>
                <c:pt idx="1">
                  <c:v>5</c:v>
                </c:pt>
                <c:pt idx="2">
                  <c:v>40</c:v>
                </c:pt>
              </c:numCache>
            </c:numRef>
          </c:xVal>
          <c:yVal>
            <c:numRef>
              <c:f>'OldData_full+half_combiE'!$J$38:$J$40</c:f>
              <c:numCache>
                <c:formatCode>0.00</c:formatCode>
                <c:ptCount val="3"/>
                <c:pt idx="0">
                  <c:v>3.55</c:v>
                </c:pt>
                <c:pt idx="1">
                  <c:v>2.4900000000000002</c:v>
                </c:pt>
                <c:pt idx="2">
                  <c:v>8.8000000000000007</c:v>
                </c:pt>
              </c:numCache>
            </c:numRef>
          </c:yVal>
          <c:smooth val="0"/>
          <c:extLst xmlns:c15="http://schemas.microsoft.com/office/drawing/2012/chart">
            <c:ext xmlns:c16="http://schemas.microsoft.com/office/drawing/2014/chart" uri="{C3380CC4-5D6E-409C-BE32-E72D297353CC}">
              <c16:uniqueId val="{0000000A-78B2-4193-84DA-5B5D8FD53DA7}"/>
            </c:ext>
          </c:extLst>
        </c:ser>
        <c:ser>
          <c:idx val="11"/>
          <c:order val="11"/>
          <c:tx>
            <c:v>Hobart</c:v>
          </c:tx>
          <c:spPr>
            <a:ln w="19050" cap="rnd">
              <a:noFill/>
              <a:round/>
            </a:ln>
            <a:effectLst/>
          </c:spPr>
          <c:marker>
            <c:symbol val="square"/>
            <c:size val="25"/>
            <c:spPr>
              <a:solidFill>
                <a:srgbClr val="00B050"/>
              </a:solidFill>
              <a:ln w="6350">
                <a:solidFill>
                  <a:sysClr val="windowText" lastClr="000000"/>
                </a:solidFill>
              </a:ln>
              <a:effectLst/>
            </c:spPr>
          </c:marker>
          <c:dPt>
            <c:idx val="1"/>
            <c:marker>
              <c:symbol val="square"/>
              <c:size val="25"/>
              <c:spPr>
                <a:solidFill>
                  <a:srgbClr val="00B050"/>
                </a:solidFill>
                <a:ln w="6350">
                  <a:solidFill>
                    <a:sysClr val="windowText" lastClr="000000"/>
                  </a:solidFill>
                </a:ln>
                <a:effectLst/>
              </c:spPr>
            </c:marker>
            <c:bubble3D val="0"/>
            <c:spPr>
              <a:ln w="19050" cap="rnd">
                <a:noFill/>
                <a:round/>
              </a:ln>
              <a:effectLst/>
            </c:spPr>
            <c:extLst>
              <c:ext xmlns:c16="http://schemas.microsoft.com/office/drawing/2014/chart" uri="{C3380CC4-5D6E-409C-BE32-E72D297353CC}">
                <c16:uniqueId val="{0000000C-78B2-4193-84DA-5B5D8FD53DA7}"/>
              </c:ext>
            </c:extLst>
          </c:dPt>
          <c:xVal>
            <c:numRef>
              <c:f>'OldData_full+half_combiE'!$N$55:$N$56</c:f>
              <c:numCache>
                <c:formatCode>#,##0_);\(#,##0\)</c:formatCode>
                <c:ptCount val="2"/>
                <c:pt idx="0">
                  <c:v>38</c:v>
                </c:pt>
                <c:pt idx="1">
                  <c:v>20</c:v>
                </c:pt>
              </c:numCache>
            </c:numRef>
          </c:xVal>
          <c:yVal>
            <c:numRef>
              <c:f>'OldData_full+half_combiE'!$J$55:$J$56</c:f>
              <c:numCache>
                <c:formatCode>0.00</c:formatCode>
                <c:ptCount val="2"/>
                <c:pt idx="0">
                  <c:v>5.6</c:v>
                </c:pt>
                <c:pt idx="1">
                  <c:v>3.12</c:v>
                </c:pt>
              </c:numCache>
            </c:numRef>
          </c:yVal>
          <c:smooth val="0"/>
          <c:extLst xmlns:c15="http://schemas.microsoft.com/office/drawing/2012/chart">
            <c:ext xmlns:c16="http://schemas.microsoft.com/office/drawing/2014/chart" uri="{C3380CC4-5D6E-409C-BE32-E72D297353CC}">
              <c16:uniqueId val="{0000000D-78B2-4193-84DA-5B5D8FD53DA7}"/>
            </c:ext>
          </c:extLst>
        </c:ser>
        <c:ser>
          <c:idx val="12"/>
          <c:order val="12"/>
          <c:tx>
            <c:v>Lainox</c:v>
          </c:tx>
          <c:spPr>
            <a:ln w="19050" cap="rnd">
              <a:noFill/>
              <a:round/>
            </a:ln>
            <a:effectLst/>
          </c:spPr>
          <c:marker>
            <c:symbol val="triangle"/>
            <c:size val="26"/>
            <c:spPr>
              <a:solidFill>
                <a:srgbClr val="00B050"/>
              </a:solidFill>
              <a:ln w="9525">
                <a:solidFill>
                  <a:sysClr val="windowText" lastClr="000000"/>
                </a:solidFill>
              </a:ln>
              <a:effectLst/>
            </c:spPr>
          </c:marker>
          <c:xVal>
            <c:numRef>
              <c:f>'OldData_full+half_combiE'!$N$57:$N$66</c:f>
              <c:numCache>
                <c:formatCode>#,##0_);\(#,##0\)</c:formatCode>
                <c:ptCount val="10"/>
                <c:pt idx="0">
                  <c:v>7</c:v>
                </c:pt>
                <c:pt idx="1">
                  <c:v>14</c:v>
                </c:pt>
                <c:pt idx="2">
                  <c:v>10</c:v>
                </c:pt>
                <c:pt idx="3">
                  <c:v>20</c:v>
                </c:pt>
                <c:pt idx="4">
                  <c:v>20</c:v>
                </c:pt>
                <c:pt idx="5">
                  <c:v>7</c:v>
                </c:pt>
                <c:pt idx="6">
                  <c:v>14</c:v>
                </c:pt>
                <c:pt idx="7">
                  <c:v>10</c:v>
                </c:pt>
                <c:pt idx="8">
                  <c:v>20</c:v>
                </c:pt>
                <c:pt idx="9">
                  <c:v>20</c:v>
                </c:pt>
              </c:numCache>
            </c:numRef>
          </c:xVal>
          <c:yVal>
            <c:numRef>
              <c:f>'OldData_full+half_combiE'!$J$57:$J$66</c:f>
              <c:numCache>
                <c:formatCode>0.00</c:formatCode>
                <c:ptCount val="10"/>
                <c:pt idx="0">
                  <c:v>1.46</c:v>
                </c:pt>
                <c:pt idx="1">
                  <c:v>1.96</c:v>
                </c:pt>
                <c:pt idx="2">
                  <c:v>1.63</c:v>
                </c:pt>
                <c:pt idx="3">
                  <c:v>1.88</c:v>
                </c:pt>
                <c:pt idx="4">
                  <c:v>3.02</c:v>
                </c:pt>
                <c:pt idx="5">
                  <c:v>1.42</c:v>
                </c:pt>
                <c:pt idx="6">
                  <c:v>1.1299999999999999</c:v>
                </c:pt>
                <c:pt idx="7">
                  <c:v>1.22</c:v>
                </c:pt>
                <c:pt idx="8">
                  <c:v>1.93</c:v>
                </c:pt>
                <c:pt idx="9">
                  <c:v>2.41</c:v>
                </c:pt>
              </c:numCache>
            </c:numRef>
          </c:yVal>
          <c:smooth val="0"/>
          <c:extLst xmlns:c15="http://schemas.microsoft.com/office/drawing/2012/chart">
            <c:ext xmlns:c16="http://schemas.microsoft.com/office/drawing/2014/chart" uri="{C3380CC4-5D6E-409C-BE32-E72D297353CC}">
              <c16:uniqueId val="{0000000E-78B2-4193-84DA-5B5D8FD53DA7}"/>
            </c:ext>
          </c:extLst>
        </c:ser>
        <c:ser>
          <c:idx val="13"/>
          <c:order val="13"/>
          <c:tx>
            <c:v>Moffat</c:v>
          </c:tx>
          <c:spPr>
            <a:ln w="19050" cap="rnd">
              <a:noFill/>
              <a:round/>
            </a:ln>
            <a:effectLst/>
          </c:spPr>
          <c:marker>
            <c:symbol val="circle"/>
            <c:size val="16"/>
            <c:spPr>
              <a:solidFill>
                <a:srgbClr val="FF0000"/>
              </a:solidFill>
              <a:ln w="9525">
                <a:solidFill>
                  <a:sysClr val="windowText" lastClr="000000"/>
                </a:solidFill>
              </a:ln>
              <a:effectLst/>
            </c:spPr>
          </c:marker>
          <c:xVal>
            <c:numRef>
              <c:f>'OldData_full+half_combiE'!$N$67:$N$68</c:f>
              <c:numCache>
                <c:formatCode>#,##0_);\(#,##0\)</c:formatCode>
                <c:ptCount val="2"/>
                <c:pt idx="0">
                  <c:v>5</c:v>
                </c:pt>
                <c:pt idx="1">
                  <c:v>5</c:v>
                </c:pt>
              </c:numCache>
            </c:numRef>
          </c:xVal>
          <c:yVal>
            <c:numRef>
              <c:f>'OldData_full+half_combiE'!$J$67:$J$68</c:f>
              <c:numCache>
                <c:formatCode>0.00</c:formatCode>
                <c:ptCount val="2"/>
                <c:pt idx="0">
                  <c:v>2.21</c:v>
                </c:pt>
                <c:pt idx="1">
                  <c:v>2.21</c:v>
                </c:pt>
              </c:numCache>
            </c:numRef>
          </c:yVal>
          <c:smooth val="0"/>
          <c:extLst xmlns:c15="http://schemas.microsoft.com/office/drawing/2012/chart">
            <c:ext xmlns:c16="http://schemas.microsoft.com/office/drawing/2014/chart" uri="{C3380CC4-5D6E-409C-BE32-E72D297353CC}">
              <c16:uniqueId val="{0000000F-78B2-4193-84DA-5B5D8FD53DA7}"/>
            </c:ext>
          </c:extLst>
        </c:ser>
        <c:ser>
          <c:idx val="14"/>
          <c:order val="14"/>
          <c:tx>
            <c:v>Piper</c:v>
          </c:tx>
          <c:spPr>
            <a:ln w="19050" cap="rnd">
              <a:noFill/>
              <a:round/>
            </a:ln>
            <a:effectLst/>
          </c:spPr>
          <c:marker>
            <c:symbol val="diamond"/>
            <c:size val="24"/>
            <c:spPr>
              <a:pattFill prst="wdDnDiag">
                <a:fgClr>
                  <a:srgbClr val="FF0000"/>
                </a:fgClr>
                <a:bgClr>
                  <a:sysClr val="window" lastClr="FFFFFF"/>
                </a:bgClr>
              </a:pattFill>
              <a:ln w="9525">
                <a:solidFill>
                  <a:sysClr val="windowText" lastClr="000000"/>
                </a:solidFill>
              </a:ln>
              <a:effectLst/>
            </c:spPr>
          </c:marker>
          <c:xVal>
            <c:numRef>
              <c:f>'OldData_full+half_combiE'!$N$69</c:f>
              <c:numCache>
                <c:formatCode>#,##0_);\(#,##0\)</c:formatCode>
                <c:ptCount val="1"/>
                <c:pt idx="0">
                  <c:v>6</c:v>
                </c:pt>
              </c:numCache>
            </c:numRef>
          </c:xVal>
          <c:yVal>
            <c:numRef>
              <c:f>'OldData_full+half_combiE'!$J$69</c:f>
              <c:numCache>
                <c:formatCode>0.00</c:formatCode>
                <c:ptCount val="1"/>
                <c:pt idx="0">
                  <c:v>1.69</c:v>
                </c:pt>
              </c:numCache>
            </c:numRef>
          </c:yVal>
          <c:smooth val="0"/>
          <c:extLst xmlns:c15="http://schemas.microsoft.com/office/drawing/2012/chart">
            <c:ext xmlns:c16="http://schemas.microsoft.com/office/drawing/2014/chart" uri="{C3380CC4-5D6E-409C-BE32-E72D297353CC}">
              <c16:uniqueId val="{00000010-78B2-4193-84DA-5B5D8FD53DA7}"/>
            </c:ext>
          </c:extLst>
        </c:ser>
        <c:ser>
          <c:idx val="16"/>
          <c:order val="15"/>
          <c:tx>
            <c:v>Retigo s.r.o</c:v>
          </c:tx>
          <c:spPr>
            <a:ln w="19050" cap="rnd">
              <a:noFill/>
              <a:round/>
            </a:ln>
            <a:effectLst/>
          </c:spPr>
          <c:marker>
            <c:symbol val="triangle"/>
            <c:size val="22"/>
            <c:spPr>
              <a:pattFill prst="pct75">
                <a:fgClr>
                  <a:srgbClr val="FF0000"/>
                </a:fgClr>
                <a:bgClr>
                  <a:sysClr val="window" lastClr="FFFFFF"/>
                </a:bgClr>
              </a:pattFill>
              <a:ln w="9525">
                <a:solidFill>
                  <a:sysClr val="windowText" lastClr="000000"/>
                </a:solidFill>
              </a:ln>
              <a:effectLst/>
            </c:spPr>
          </c:marker>
          <c:xVal>
            <c:numRef>
              <c:f>'OldData_full+half_combiE'!$N$96</c:f>
              <c:numCache>
                <c:formatCode>#,##0_);\(#,##0\)</c:formatCode>
                <c:ptCount val="1"/>
                <c:pt idx="0">
                  <c:v>10</c:v>
                </c:pt>
              </c:numCache>
            </c:numRef>
          </c:xVal>
          <c:yVal>
            <c:numRef>
              <c:f>'OldData_full+half_combiE'!$J$96</c:f>
              <c:numCache>
                <c:formatCode>0.00</c:formatCode>
                <c:ptCount val="1"/>
                <c:pt idx="0">
                  <c:v>1.1299999999999999</c:v>
                </c:pt>
              </c:numCache>
            </c:numRef>
          </c:yVal>
          <c:smooth val="0"/>
          <c:extLst xmlns:c15="http://schemas.microsoft.com/office/drawing/2012/chart">
            <c:ext xmlns:c16="http://schemas.microsoft.com/office/drawing/2014/chart" uri="{C3380CC4-5D6E-409C-BE32-E72D297353CC}">
              <c16:uniqueId val="{00000011-78B2-4193-84DA-5B5D8FD53DA7}"/>
            </c:ext>
          </c:extLst>
        </c:ser>
        <c:ser>
          <c:idx val="15"/>
          <c:order val="16"/>
          <c:tx>
            <c:v>Rational AG</c:v>
          </c:tx>
          <c:spPr>
            <a:ln w="19050" cap="rnd">
              <a:noFill/>
              <a:round/>
            </a:ln>
            <a:effectLst/>
          </c:spPr>
          <c:marker>
            <c:symbol val="square"/>
            <c:size val="10"/>
            <c:spPr>
              <a:solidFill>
                <a:srgbClr val="FF0000"/>
              </a:solidFill>
              <a:ln w="6350">
                <a:solidFill>
                  <a:sysClr val="windowText" lastClr="000000"/>
                </a:solidFill>
              </a:ln>
              <a:effectLst/>
            </c:spPr>
          </c:marker>
          <c:xVal>
            <c:numRef>
              <c:f>'OldData_full+half_combiE'!$N$71:$N$95</c:f>
              <c:numCache>
                <c:formatCode>#,##0_);\(#,##0\)</c:formatCode>
                <c:ptCount val="25"/>
                <c:pt idx="0">
                  <c:v>6</c:v>
                </c:pt>
                <c:pt idx="1">
                  <c:v>6</c:v>
                </c:pt>
                <c:pt idx="2">
                  <c:v>6</c:v>
                </c:pt>
                <c:pt idx="3">
                  <c:v>10</c:v>
                </c:pt>
                <c:pt idx="4">
                  <c:v>6</c:v>
                </c:pt>
                <c:pt idx="5">
                  <c:v>12</c:v>
                </c:pt>
                <c:pt idx="6">
                  <c:v>12</c:v>
                </c:pt>
                <c:pt idx="7">
                  <c:v>10</c:v>
                </c:pt>
                <c:pt idx="8">
                  <c:v>20</c:v>
                </c:pt>
                <c:pt idx="9">
                  <c:v>20</c:v>
                </c:pt>
                <c:pt idx="10">
                  <c:v>20</c:v>
                </c:pt>
                <c:pt idx="11">
                  <c:v>10</c:v>
                </c:pt>
                <c:pt idx="12">
                  <c:v>20</c:v>
                </c:pt>
                <c:pt idx="13">
                  <c:v>20</c:v>
                </c:pt>
                <c:pt idx="14">
                  <c:v>20</c:v>
                </c:pt>
                <c:pt idx="15">
                  <c:v>6</c:v>
                </c:pt>
                <c:pt idx="16">
                  <c:v>6</c:v>
                </c:pt>
                <c:pt idx="17">
                  <c:v>12</c:v>
                </c:pt>
                <c:pt idx="18">
                  <c:v>12</c:v>
                </c:pt>
                <c:pt idx="19">
                  <c:v>40</c:v>
                </c:pt>
                <c:pt idx="20">
                  <c:v>10</c:v>
                </c:pt>
                <c:pt idx="21">
                  <c:v>12</c:v>
                </c:pt>
                <c:pt idx="22">
                  <c:v>20</c:v>
                </c:pt>
                <c:pt idx="23">
                  <c:v>6</c:v>
                </c:pt>
                <c:pt idx="24">
                  <c:v>6</c:v>
                </c:pt>
              </c:numCache>
            </c:numRef>
          </c:xVal>
          <c:yVal>
            <c:numRef>
              <c:f>'OldData_full+half_combiE'!$J$71:$J$95</c:f>
              <c:numCache>
                <c:formatCode>0.00</c:formatCode>
                <c:ptCount val="25"/>
                <c:pt idx="0">
                  <c:v>1.01</c:v>
                </c:pt>
                <c:pt idx="1">
                  <c:v>1.19</c:v>
                </c:pt>
                <c:pt idx="2">
                  <c:v>1.69</c:v>
                </c:pt>
                <c:pt idx="3">
                  <c:v>2.19</c:v>
                </c:pt>
                <c:pt idx="4">
                  <c:v>0.92</c:v>
                </c:pt>
                <c:pt idx="5">
                  <c:v>0.87</c:v>
                </c:pt>
                <c:pt idx="6">
                  <c:v>0.84</c:v>
                </c:pt>
                <c:pt idx="7">
                  <c:v>0.95</c:v>
                </c:pt>
                <c:pt idx="8">
                  <c:v>2.2400000000000002</c:v>
                </c:pt>
                <c:pt idx="9">
                  <c:v>2.0299999999999998</c:v>
                </c:pt>
                <c:pt idx="10">
                  <c:v>1.59</c:v>
                </c:pt>
                <c:pt idx="11">
                  <c:v>1.18</c:v>
                </c:pt>
                <c:pt idx="12">
                  <c:v>3.3</c:v>
                </c:pt>
                <c:pt idx="13">
                  <c:v>2.27</c:v>
                </c:pt>
                <c:pt idx="14">
                  <c:v>2.78</c:v>
                </c:pt>
                <c:pt idx="15">
                  <c:v>1.88</c:v>
                </c:pt>
                <c:pt idx="16">
                  <c:v>0.98</c:v>
                </c:pt>
                <c:pt idx="17">
                  <c:v>2</c:v>
                </c:pt>
                <c:pt idx="18">
                  <c:v>0.88</c:v>
                </c:pt>
                <c:pt idx="19">
                  <c:v>3.76</c:v>
                </c:pt>
                <c:pt idx="20">
                  <c:v>2.19</c:v>
                </c:pt>
                <c:pt idx="21">
                  <c:v>2</c:v>
                </c:pt>
                <c:pt idx="22">
                  <c:v>3.3</c:v>
                </c:pt>
                <c:pt idx="23">
                  <c:v>1.69</c:v>
                </c:pt>
                <c:pt idx="24">
                  <c:v>1.88</c:v>
                </c:pt>
              </c:numCache>
            </c:numRef>
          </c:yVal>
          <c:smooth val="0"/>
          <c:extLst xmlns:c15="http://schemas.microsoft.com/office/drawing/2012/chart">
            <c:ext xmlns:c16="http://schemas.microsoft.com/office/drawing/2014/chart" uri="{C3380CC4-5D6E-409C-BE32-E72D297353CC}">
              <c16:uniqueId val="{00000012-78B2-4193-84DA-5B5D8FD53DA7}"/>
            </c:ext>
          </c:extLst>
        </c:ser>
        <c:ser>
          <c:idx val="17"/>
          <c:order val="17"/>
          <c:tx>
            <c:v>UNOX</c:v>
          </c:tx>
          <c:spPr>
            <a:ln w="19050" cap="rnd">
              <a:noFill/>
              <a:round/>
            </a:ln>
            <a:effectLst/>
          </c:spPr>
          <c:marker>
            <c:symbol val="circle"/>
            <c:size val="8"/>
            <c:spPr>
              <a:solidFill>
                <a:srgbClr val="FFC000"/>
              </a:solidFill>
              <a:ln w="6350">
                <a:solidFill>
                  <a:sysClr val="windowText" lastClr="000000"/>
                </a:solidFill>
              </a:ln>
              <a:effectLst/>
            </c:spPr>
          </c:marker>
          <c:xVal>
            <c:numRef>
              <c:f>'OldData_full+half_combiE'!$N$97:$N$110</c:f>
              <c:numCache>
                <c:formatCode>#,##0_);\(#,##0\)</c:formatCode>
                <c:ptCount val="14"/>
                <c:pt idx="0">
                  <c:v>5</c:v>
                </c:pt>
                <c:pt idx="1">
                  <c:v>5</c:v>
                </c:pt>
                <c:pt idx="2">
                  <c:v>5</c:v>
                </c:pt>
                <c:pt idx="3">
                  <c:v>12</c:v>
                </c:pt>
                <c:pt idx="4">
                  <c:v>10</c:v>
                </c:pt>
                <c:pt idx="5">
                  <c:v>10</c:v>
                </c:pt>
                <c:pt idx="6">
                  <c:v>20</c:v>
                </c:pt>
                <c:pt idx="7">
                  <c:v>5</c:v>
                </c:pt>
                <c:pt idx="8">
                  <c:v>7</c:v>
                </c:pt>
                <c:pt idx="9">
                  <c:v>10</c:v>
                </c:pt>
                <c:pt idx="10">
                  <c:v>20</c:v>
                </c:pt>
                <c:pt idx="11">
                  <c:v>20</c:v>
                </c:pt>
                <c:pt idx="12">
                  <c:v>32</c:v>
                </c:pt>
                <c:pt idx="13">
                  <c:v>32</c:v>
                </c:pt>
              </c:numCache>
            </c:numRef>
          </c:xVal>
          <c:yVal>
            <c:numRef>
              <c:f>'OldData_full+half_combiE'!$J$97:$J$110</c:f>
              <c:numCache>
                <c:formatCode>0.00</c:formatCode>
                <c:ptCount val="14"/>
                <c:pt idx="0">
                  <c:v>1.18</c:v>
                </c:pt>
                <c:pt idx="1">
                  <c:v>0.76</c:v>
                </c:pt>
                <c:pt idx="2">
                  <c:v>0.69</c:v>
                </c:pt>
                <c:pt idx="3">
                  <c:v>1.33</c:v>
                </c:pt>
                <c:pt idx="4">
                  <c:v>1.1100000000000001</c:v>
                </c:pt>
                <c:pt idx="5">
                  <c:v>1.0900000000000001</c:v>
                </c:pt>
                <c:pt idx="6">
                  <c:v>1.65</c:v>
                </c:pt>
                <c:pt idx="7">
                  <c:v>0.66</c:v>
                </c:pt>
                <c:pt idx="8">
                  <c:v>1.56</c:v>
                </c:pt>
                <c:pt idx="9">
                  <c:v>1.1399999999999999</c:v>
                </c:pt>
                <c:pt idx="10">
                  <c:v>3.17</c:v>
                </c:pt>
                <c:pt idx="11">
                  <c:v>3.06</c:v>
                </c:pt>
                <c:pt idx="12">
                  <c:v>2.85</c:v>
                </c:pt>
                <c:pt idx="13">
                  <c:v>2.66</c:v>
                </c:pt>
              </c:numCache>
            </c:numRef>
          </c:yVal>
          <c:smooth val="0"/>
          <c:extLst xmlns:c15="http://schemas.microsoft.com/office/drawing/2012/chart">
            <c:ext xmlns:c16="http://schemas.microsoft.com/office/drawing/2014/chart" uri="{C3380CC4-5D6E-409C-BE32-E72D297353CC}">
              <c16:uniqueId val="{00000013-78B2-4193-84DA-5B5D8FD53DA7}"/>
            </c:ext>
          </c:extLst>
        </c:ser>
        <c:ser>
          <c:idx val="18"/>
          <c:order val="18"/>
          <c:tx>
            <c:v>Masked Data</c:v>
          </c:tx>
          <c:spPr>
            <a:ln w="19050" cap="rnd">
              <a:noFill/>
              <a:round/>
            </a:ln>
            <a:effectLst/>
          </c:spPr>
          <c:marker>
            <c:symbol val="circle"/>
            <c:size val="12"/>
            <c:spPr>
              <a:solidFill>
                <a:srgbClr val="E7E6E6">
                  <a:lumMod val="90000"/>
                </a:srgbClr>
              </a:solidFill>
              <a:ln w="9525">
                <a:solidFill>
                  <a:sysClr val="windowText" lastClr="000000"/>
                </a:solidFill>
              </a:ln>
              <a:effectLst/>
            </c:spPr>
          </c:marker>
          <c:xVal>
            <c:numRef>
              <c:f>'OldData_full+half_combiE'!$N$111:$N$125</c:f>
              <c:numCache>
                <c:formatCode>#,##0_);\(#,##0\)</c:formatCode>
                <c:ptCount val="15"/>
                <c:pt idx="0">
                  <c:v>20</c:v>
                </c:pt>
                <c:pt idx="1">
                  <c:v>20</c:v>
                </c:pt>
                <c:pt idx="2">
                  <c:v>20</c:v>
                </c:pt>
                <c:pt idx="3">
                  <c:v>14</c:v>
                </c:pt>
                <c:pt idx="4">
                  <c:v>14</c:v>
                </c:pt>
                <c:pt idx="5">
                  <c:v>14</c:v>
                </c:pt>
                <c:pt idx="6">
                  <c:v>11</c:v>
                </c:pt>
                <c:pt idx="7">
                  <c:v>9</c:v>
                </c:pt>
                <c:pt idx="8">
                  <c:v>6</c:v>
                </c:pt>
                <c:pt idx="9">
                  <c:v>6</c:v>
                </c:pt>
                <c:pt idx="10">
                  <c:v>5</c:v>
                </c:pt>
                <c:pt idx="11">
                  <c:v>5</c:v>
                </c:pt>
                <c:pt idx="12">
                  <c:v>5</c:v>
                </c:pt>
                <c:pt idx="13">
                  <c:v>4</c:v>
                </c:pt>
                <c:pt idx="14">
                  <c:v>3</c:v>
                </c:pt>
              </c:numCache>
            </c:numRef>
          </c:xVal>
          <c:yVal>
            <c:numRef>
              <c:f>'OldData_full+half_combiE'!$J$111:$J$125</c:f>
              <c:numCache>
                <c:formatCode>0.00</c:formatCode>
                <c:ptCount val="15"/>
                <c:pt idx="0">
                  <c:v>2.6</c:v>
                </c:pt>
                <c:pt idx="1">
                  <c:v>13.1</c:v>
                </c:pt>
                <c:pt idx="2">
                  <c:v>3.07</c:v>
                </c:pt>
                <c:pt idx="3">
                  <c:v>3.14</c:v>
                </c:pt>
                <c:pt idx="4">
                  <c:v>2.13</c:v>
                </c:pt>
                <c:pt idx="5">
                  <c:v>2.0299999999999998</c:v>
                </c:pt>
                <c:pt idx="6">
                  <c:v>4</c:v>
                </c:pt>
                <c:pt idx="7">
                  <c:v>6.65</c:v>
                </c:pt>
                <c:pt idx="8">
                  <c:v>1.69</c:v>
                </c:pt>
                <c:pt idx="9">
                  <c:v>1.62</c:v>
                </c:pt>
                <c:pt idx="10">
                  <c:v>5.0999999999999996</c:v>
                </c:pt>
                <c:pt idx="11">
                  <c:v>3.45</c:v>
                </c:pt>
                <c:pt idx="12">
                  <c:v>2.4900000000000002</c:v>
                </c:pt>
                <c:pt idx="13">
                  <c:v>1.33</c:v>
                </c:pt>
                <c:pt idx="14">
                  <c:v>1.69</c:v>
                </c:pt>
              </c:numCache>
            </c:numRef>
          </c:yVal>
          <c:smooth val="0"/>
          <c:extLst xmlns:c15="http://schemas.microsoft.com/office/drawing/2012/chart">
            <c:ext xmlns:c16="http://schemas.microsoft.com/office/drawing/2014/chart" uri="{C3380CC4-5D6E-409C-BE32-E72D297353CC}">
              <c16:uniqueId val="{00000014-78B2-4193-84DA-5B5D8FD53DA7}"/>
            </c:ext>
          </c:extLst>
        </c:ser>
        <c:ser>
          <c:idx val="19"/>
          <c:order val="19"/>
          <c:tx>
            <c:v>Pratica</c:v>
          </c:tx>
          <c:spPr>
            <a:ln w="19050" cap="rnd">
              <a:noFill/>
              <a:round/>
            </a:ln>
            <a:effectLst/>
          </c:spPr>
          <c:marker>
            <c:symbol val="circle"/>
            <c:size val="8"/>
            <c:spPr>
              <a:solidFill>
                <a:srgbClr val="ED7D31"/>
              </a:solidFill>
              <a:ln w="9525">
                <a:solidFill>
                  <a:sysClr val="windowText" lastClr="000000"/>
                </a:solidFill>
              </a:ln>
              <a:effectLst/>
            </c:spPr>
          </c:marker>
          <c:xVal>
            <c:numRef>
              <c:f>'OldData_full+half_combiE'!$N$70</c:f>
              <c:numCache>
                <c:formatCode>#,##0_);\(#,##0\)</c:formatCode>
                <c:ptCount val="1"/>
                <c:pt idx="0">
                  <c:v>3</c:v>
                </c:pt>
              </c:numCache>
            </c:numRef>
          </c:xVal>
          <c:yVal>
            <c:numRef>
              <c:f>'OldData_full+half_combiE'!$J$70</c:f>
              <c:numCache>
                <c:formatCode>0.00</c:formatCode>
                <c:ptCount val="1"/>
                <c:pt idx="0">
                  <c:v>1.69</c:v>
                </c:pt>
              </c:numCache>
            </c:numRef>
          </c:yVal>
          <c:smooth val="0"/>
          <c:extLst>
            <c:ext xmlns:c16="http://schemas.microsoft.com/office/drawing/2014/chart" uri="{C3380CC4-5D6E-409C-BE32-E72D297353CC}">
              <c16:uniqueId val="{00000002-900F-4174-A36B-F4AFD78794A3}"/>
            </c:ext>
          </c:extLst>
        </c:ser>
        <c:ser>
          <c:idx val="20"/>
          <c:order val="20"/>
          <c:tx>
            <c:v>Giorik</c:v>
          </c:tx>
          <c:spPr>
            <a:ln w="19050" cap="rnd">
              <a:noFill/>
              <a:round/>
            </a:ln>
            <a:effectLst/>
          </c:spPr>
          <c:marker>
            <c:symbol val="diamond"/>
            <c:size val="8"/>
            <c:spPr>
              <a:pattFill prst="wdDnDiag">
                <a:fgClr>
                  <a:srgbClr val="FFC000"/>
                </a:fgClr>
                <a:bgClr>
                  <a:sysClr val="window" lastClr="FFFFFF"/>
                </a:bgClr>
              </a:pattFill>
              <a:ln w="9525">
                <a:solidFill>
                  <a:sysClr val="windowText" lastClr="000000"/>
                </a:solidFill>
              </a:ln>
              <a:effectLst/>
            </c:spPr>
          </c:marker>
          <c:xVal>
            <c:numRef>
              <c:f>'OldData_full+half_combiE'!$N$41:$N$45</c:f>
              <c:numCache>
                <c:formatCode>#,##0_);\(#,##0\)</c:formatCode>
                <c:ptCount val="5"/>
                <c:pt idx="0">
                  <c:v>6</c:v>
                </c:pt>
                <c:pt idx="1">
                  <c:v>12</c:v>
                </c:pt>
                <c:pt idx="2">
                  <c:v>10</c:v>
                </c:pt>
                <c:pt idx="3">
                  <c:v>20</c:v>
                </c:pt>
                <c:pt idx="4">
                  <c:v>20</c:v>
                </c:pt>
              </c:numCache>
            </c:numRef>
          </c:xVal>
          <c:yVal>
            <c:numRef>
              <c:f>'OldData_full+half_combiE'!$J$41:$J$45</c:f>
              <c:numCache>
                <c:formatCode>0.00</c:formatCode>
                <c:ptCount val="5"/>
                <c:pt idx="0">
                  <c:v>0.98</c:v>
                </c:pt>
                <c:pt idx="1">
                  <c:v>1.1299999999999999</c:v>
                </c:pt>
                <c:pt idx="2">
                  <c:v>1.1499999999999999</c:v>
                </c:pt>
                <c:pt idx="3">
                  <c:v>1.81</c:v>
                </c:pt>
                <c:pt idx="4">
                  <c:v>5.31</c:v>
                </c:pt>
              </c:numCache>
            </c:numRef>
          </c:yVal>
          <c:smooth val="0"/>
          <c:extLst>
            <c:ext xmlns:c16="http://schemas.microsoft.com/office/drawing/2014/chart" uri="{C3380CC4-5D6E-409C-BE32-E72D297353CC}">
              <c16:uniqueId val="{00000002-2846-42DA-8679-0DB8C8B8D747}"/>
            </c:ext>
          </c:extLst>
        </c:ser>
        <c:dLbls>
          <c:showLegendKey val="0"/>
          <c:showVal val="0"/>
          <c:showCatName val="0"/>
          <c:showSerName val="0"/>
          <c:showPercent val="0"/>
          <c:showBubbleSize val="0"/>
        </c:dLbls>
        <c:axId val="1339364527"/>
        <c:axId val="1486491071"/>
        <c:extLst/>
      </c:scatterChart>
      <c:valAx>
        <c:axId val="1339364527"/>
        <c:scaling>
          <c:orientation val="minMax"/>
          <c:max val="4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Pan Capacity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6491071"/>
        <c:crosses val="autoZero"/>
        <c:crossBetween val="midCat"/>
      </c:valAx>
      <c:valAx>
        <c:axId val="1486491071"/>
        <c:scaling>
          <c:orientation val="minMax"/>
          <c:max val="10"/>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Steam</a:t>
                </a:r>
                <a:r>
                  <a:rPr lang="en-US" b="1" baseline="0"/>
                  <a:t> </a:t>
                </a:r>
                <a:r>
                  <a:rPr lang="en-US" b="1"/>
                  <a:t> Mode Idle, kW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9364527"/>
        <c:crosses val="autoZero"/>
        <c:crossBetween val="midCat"/>
      </c:valAx>
      <c:spPr>
        <a:noFill/>
        <a:ln>
          <a:solidFill>
            <a:schemeClr val="bg2">
              <a:lumMod val="90000"/>
            </a:schemeClr>
          </a:solidFill>
        </a:ln>
        <a:effectLst/>
      </c:spPr>
    </c:plotArea>
    <c:legend>
      <c:legendPos val="r"/>
      <c:layout>
        <c:manualLayout>
          <c:xMode val="edge"/>
          <c:yMode val="edge"/>
          <c:x val="0.8347552503577268"/>
          <c:y val="2.0334544661548175E-3"/>
          <c:w val="0.16524474964227312"/>
          <c:h val="0.9690687187562586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Convection Mode Idle </a:t>
            </a:r>
          </a:p>
        </c:rich>
      </c:tx>
      <c:layout>
        <c:manualLayout>
          <c:xMode val="edge"/>
          <c:yMode val="edge"/>
          <c:x val="0.30960156436194747"/>
          <c:y val="1.794195134213409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6728977581204426E-2"/>
          <c:y val="6.4465324296189008E-2"/>
          <c:w val="0.72356724124661609"/>
          <c:h val="0.84347475217403511"/>
        </c:manualLayout>
      </c:layout>
      <c:scatterChart>
        <c:scatterStyle val="lineMarker"/>
        <c:varyColors val="0"/>
        <c:ser>
          <c:idx val="2"/>
          <c:order val="0"/>
          <c:tx>
            <c:v>New Idle Max</c:v>
          </c:tx>
          <c:spPr>
            <a:ln w="41275" cap="rnd">
              <a:solidFill>
                <a:srgbClr val="70AD47">
                  <a:lumMod val="60000"/>
                  <a:lumOff val="40000"/>
                </a:srgbClr>
              </a:solidFill>
              <a:round/>
            </a:ln>
            <a:effectLst/>
          </c:spPr>
          <c:marker>
            <c:symbol val="none"/>
          </c:marker>
          <c:trendline>
            <c:spPr>
              <a:ln w="19050" cap="rnd">
                <a:solidFill>
                  <a:schemeClr val="accent3"/>
                </a:solidFill>
                <a:prstDash val="sysDot"/>
              </a:ln>
              <a:effectLst/>
            </c:spPr>
            <c:trendlineType val="linear"/>
            <c:dispRSqr val="0"/>
            <c:dispEq val="1"/>
            <c:trendlineLbl>
              <c:layout>
                <c:manualLayout>
                  <c:x val="-3.7595137493297702E-2"/>
                  <c:y val="0.42531371162392495"/>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'Graph Electric combi Full+half'!$O$40:$O$41</c:f>
              <c:numCache>
                <c:formatCode>General</c:formatCode>
                <c:ptCount val="2"/>
                <c:pt idx="0">
                  <c:v>0</c:v>
                </c:pt>
                <c:pt idx="1">
                  <c:v>40</c:v>
                </c:pt>
              </c:numCache>
            </c:numRef>
          </c:xVal>
          <c:yVal>
            <c:numRef>
              <c:f>'Graph Electric combi Full+half'!$P$40:$P$41</c:f>
              <c:numCache>
                <c:formatCode>General</c:formatCode>
                <c:ptCount val="2"/>
                <c:pt idx="0">
                  <c:v>0.4</c:v>
                </c:pt>
                <c:pt idx="1">
                  <c:v>3.6989000000000001</c:v>
                </c:pt>
              </c:numCache>
            </c:numRef>
          </c:yVal>
          <c:smooth val="0"/>
          <c:extLst>
            <c:ext xmlns:c16="http://schemas.microsoft.com/office/drawing/2014/chart" uri="{C3380CC4-5D6E-409C-BE32-E72D297353CC}">
              <c16:uniqueId val="{00000000-F398-4F66-9FA2-DC83624FA2BD}"/>
            </c:ext>
          </c:extLst>
        </c:ser>
        <c:ser>
          <c:idx val="5"/>
          <c:order val="1"/>
          <c:tx>
            <c:v>Current Max</c:v>
          </c:tx>
          <c:spPr>
            <a:ln w="19050" cap="rnd">
              <a:solidFill>
                <a:sysClr val="windowText" lastClr="000000"/>
              </a:solidFill>
              <a:prstDash val="dash"/>
              <a:round/>
            </a:ln>
            <a:effectLst/>
          </c:spPr>
          <c:marker>
            <c:symbol val="none"/>
          </c:marker>
          <c:xVal>
            <c:numRef>
              <c:f>'Graph Electric combi Full+half'!$N$49:$N$50</c:f>
              <c:numCache>
                <c:formatCode>General</c:formatCode>
                <c:ptCount val="2"/>
                <c:pt idx="0">
                  <c:v>0</c:v>
                </c:pt>
                <c:pt idx="1">
                  <c:v>40</c:v>
                </c:pt>
              </c:numCache>
            </c:numRef>
          </c:xVal>
          <c:yVal>
            <c:numRef>
              <c:f>'Graph Electric combi Full+half'!$O$49:$O$50</c:f>
              <c:numCache>
                <c:formatCode>General</c:formatCode>
                <c:ptCount val="2"/>
                <c:pt idx="0">
                  <c:v>0.49890000000000001</c:v>
                </c:pt>
                <c:pt idx="1">
                  <c:v>3.6989000000000001</c:v>
                </c:pt>
              </c:numCache>
            </c:numRef>
          </c:yVal>
          <c:smooth val="0"/>
          <c:extLst>
            <c:ext xmlns:c16="http://schemas.microsoft.com/office/drawing/2014/chart" uri="{C3380CC4-5D6E-409C-BE32-E72D297353CC}">
              <c16:uniqueId val="{00000001-F398-4F66-9FA2-DC83624FA2BD}"/>
            </c:ext>
          </c:extLst>
        </c:ser>
        <c:ser>
          <c:idx val="1"/>
          <c:order val="2"/>
          <c:tx>
            <c:v>Alto-Shaam</c:v>
          </c:tx>
          <c:spPr>
            <a:ln w="19050" cap="rnd">
              <a:noFill/>
              <a:round/>
            </a:ln>
            <a:effectLst/>
          </c:spPr>
          <c:marker>
            <c:symbol val="square"/>
            <c:size val="30"/>
            <c:spPr>
              <a:solidFill>
                <a:srgbClr val="E7E6E6">
                  <a:lumMod val="90000"/>
                </a:srgbClr>
              </a:solidFill>
              <a:ln w="6350">
                <a:solidFill>
                  <a:sysClr val="windowText" lastClr="000000"/>
                </a:solidFill>
              </a:ln>
              <a:effectLst/>
            </c:spPr>
          </c:marker>
          <c:xVal>
            <c:numRef>
              <c:f>'OldData_full+half_combiE'!$N$3:$N$5</c:f>
              <c:numCache>
                <c:formatCode>#,##0_);\(#,##0\)</c:formatCode>
                <c:ptCount val="3"/>
                <c:pt idx="0">
                  <c:v>14</c:v>
                </c:pt>
                <c:pt idx="1">
                  <c:v>14</c:v>
                </c:pt>
                <c:pt idx="2">
                  <c:v>14</c:v>
                </c:pt>
              </c:numCache>
            </c:numRef>
          </c:xVal>
          <c:yVal>
            <c:numRef>
              <c:f>'OldData_full+half_combiE'!$K$3:$K$5</c:f>
              <c:numCache>
                <c:formatCode>0.00</c:formatCode>
                <c:ptCount val="3"/>
                <c:pt idx="0">
                  <c:v>1.51</c:v>
                </c:pt>
                <c:pt idx="1">
                  <c:v>1.42</c:v>
                </c:pt>
                <c:pt idx="2">
                  <c:v>1.56</c:v>
                </c:pt>
              </c:numCache>
            </c:numRef>
          </c:yVal>
          <c:smooth val="0"/>
          <c:extLst xmlns:c15="http://schemas.microsoft.com/office/drawing/2012/chart">
            <c:ext xmlns:c16="http://schemas.microsoft.com/office/drawing/2014/chart" uri="{C3380CC4-5D6E-409C-BE32-E72D297353CC}">
              <c16:uniqueId val="{00000002-F398-4F66-9FA2-DC83624FA2BD}"/>
            </c:ext>
          </c:extLst>
        </c:ser>
        <c:ser>
          <c:idx val="4"/>
          <c:order val="3"/>
          <c:tx>
            <c:v>BKI</c:v>
          </c:tx>
          <c:spPr>
            <a:ln w="19050" cap="rnd">
              <a:noFill/>
              <a:round/>
            </a:ln>
            <a:effectLst/>
          </c:spPr>
          <c:marker>
            <c:symbol val="circle"/>
            <c:size val="40"/>
            <c:spPr>
              <a:solidFill>
                <a:srgbClr val="2276E6"/>
              </a:solidFill>
              <a:ln w="6350">
                <a:solidFill>
                  <a:sysClr val="windowText" lastClr="000000"/>
                </a:solidFill>
              </a:ln>
              <a:effectLst/>
            </c:spPr>
          </c:marker>
          <c:xVal>
            <c:numRef>
              <c:f>'OldData_full+half_combiE'!$N$9:$N$13</c:f>
              <c:numCache>
                <c:formatCode>#,##0_);\(#,##0\)</c:formatCode>
                <c:ptCount val="5"/>
                <c:pt idx="0">
                  <c:v>20</c:v>
                </c:pt>
                <c:pt idx="1">
                  <c:v>12</c:v>
                </c:pt>
                <c:pt idx="2">
                  <c:v>10</c:v>
                </c:pt>
                <c:pt idx="3">
                  <c:v>20</c:v>
                </c:pt>
                <c:pt idx="4">
                  <c:v>6</c:v>
                </c:pt>
              </c:numCache>
            </c:numRef>
          </c:xVal>
          <c:yVal>
            <c:numRef>
              <c:f>'OldData_full+half_combiE'!$K$9:$K$13</c:f>
              <c:numCache>
                <c:formatCode>0.00</c:formatCode>
                <c:ptCount val="5"/>
                <c:pt idx="0">
                  <c:v>1.69</c:v>
                </c:pt>
                <c:pt idx="1">
                  <c:v>1.28</c:v>
                </c:pt>
                <c:pt idx="2">
                  <c:v>1.3</c:v>
                </c:pt>
                <c:pt idx="3">
                  <c:v>1.69</c:v>
                </c:pt>
                <c:pt idx="4">
                  <c:v>1.08</c:v>
                </c:pt>
              </c:numCache>
            </c:numRef>
          </c:yVal>
          <c:smooth val="0"/>
          <c:extLst xmlns:c15="http://schemas.microsoft.com/office/drawing/2012/chart">
            <c:ext xmlns:c16="http://schemas.microsoft.com/office/drawing/2014/chart" uri="{C3380CC4-5D6E-409C-BE32-E72D297353CC}">
              <c16:uniqueId val="{00000003-F398-4F66-9FA2-DC83624FA2BD}"/>
            </c:ext>
          </c:extLst>
        </c:ser>
        <c:ser>
          <c:idx val="3"/>
          <c:order val="4"/>
          <c:tx>
            <c:v>Angelo Po</c:v>
          </c:tx>
          <c:spPr>
            <a:ln w="19050" cap="rnd">
              <a:noFill/>
              <a:round/>
            </a:ln>
            <a:effectLst/>
          </c:spPr>
          <c:marker>
            <c:symbol val="triangle"/>
            <c:size val="32"/>
            <c:spPr>
              <a:solidFill>
                <a:srgbClr val="E7E6E6">
                  <a:lumMod val="90000"/>
                </a:srgbClr>
              </a:solidFill>
              <a:ln w="6350">
                <a:solidFill>
                  <a:sysClr val="windowText" lastClr="000000"/>
                </a:solidFill>
              </a:ln>
              <a:effectLst/>
            </c:spPr>
          </c:marker>
          <c:xVal>
            <c:numRef>
              <c:f>'OldData_full+half_combiE'!$N$6:$N$8</c:f>
              <c:numCache>
                <c:formatCode>#,##0_);\(#,##0\)</c:formatCode>
                <c:ptCount val="3"/>
                <c:pt idx="0">
                  <c:v>16</c:v>
                </c:pt>
                <c:pt idx="1">
                  <c:v>24</c:v>
                </c:pt>
                <c:pt idx="2">
                  <c:v>40</c:v>
                </c:pt>
              </c:numCache>
            </c:numRef>
          </c:xVal>
          <c:yVal>
            <c:numRef>
              <c:f>'OldData_full+half_combiE'!$K$6:$K$8</c:f>
              <c:numCache>
                <c:formatCode>0.00</c:formatCode>
                <c:ptCount val="3"/>
                <c:pt idx="0">
                  <c:v>1.69</c:v>
                </c:pt>
                <c:pt idx="1">
                  <c:v>2.12</c:v>
                </c:pt>
                <c:pt idx="2">
                  <c:v>3.34</c:v>
                </c:pt>
              </c:numCache>
            </c:numRef>
          </c:yVal>
          <c:smooth val="0"/>
          <c:extLst xmlns:c15="http://schemas.microsoft.com/office/drawing/2012/chart">
            <c:ext xmlns:c16="http://schemas.microsoft.com/office/drawing/2014/chart" uri="{C3380CC4-5D6E-409C-BE32-E72D297353CC}">
              <c16:uniqueId val="{00000004-F398-4F66-9FA2-DC83624FA2BD}"/>
            </c:ext>
          </c:extLst>
        </c:ser>
        <c:ser>
          <c:idx val="0"/>
          <c:order val="5"/>
          <c:tx>
            <c:v>AccuTemp</c:v>
          </c:tx>
          <c:spPr>
            <a:ln w="19050" cap="rnd">
              <a:noFill/>
              <a:round/>
            </a:ln>
            <a:effectLst/>
          </c:spPr>
          <c:marker>
            <c:symbol val="diamond"/>
            <c:size val="34"/>
            <c:spPr>
              <a:solidFill>
                <a:srgbClr val="E7E6E6">
                  <a:lumMod val="90000"/>
                </a:srgbClr>
              </a:solidFill>
              <a:ln w="6350">
                <a:solidFill>
                  <a:sysClr val="windowText" lastClr="000000"/>
                </a:solidFill>
              </a:ln>
              <a:effectLst/>
            </c:spPr>
          </c:marker>
          <c:xVal>
            <c:numRef>
              <c:f>'OldData_full+half_combiE'!$N$2</c:f>
              <c:numCache>
                <c:formatCode>#,##0_);\(#,##0\)</c:formatCode>
                <c:ptCount val="1"/>
                <c:pt idx="0">
                  <c:v>12</c:v>
                </c:pt>
              </c:numCache>
            </c:numRef>
          </c:xVal>
          <c:yVal>
            <c:numRef>
              <c:f>'OldData_full+half_combiE'!$K$2</c:f>
              <c:numCache>
                <c:formatCode>0.00</c:formatCode>
                <c:ptCount val="1"/>
                <c:pt idx="0">
                  <c:v>1.1000000000000001</c:v>
                </c:pt>
              </c:numCache>
            </c:numRef>
          </c:yVal>
          <c:smooth val="0"/>
          <c:extLst xmlns:c15="http://schemas.microsoft.com/office/drawing/2012/chart">
            <c:ext xmlns:c16="http://schemas.microsoft.com/office/drawing/2014/chart" uri="{C3380CC4-5D6E-409C-BE32-E72D297353CC}">
              <c16:uniqueId val="{00000005-F398-4F66-9FA2-DC83624FA2BD}"/>
            </c:ext>
          </c:extLst>
        </c:ser>
        <c:ser>
          <c:idx val="6"/>
          <c:order val="6"/>
          <c:tx>
            <c:v>Blodgett</c:v>
          </c:tx>
          <c:spPr>
            <a:ln w="19050" cap="rnd">
              <a:noFill/>
              <a:round/>
            </a:ln>
            <a:effectLst/>
          </c:spPr>
          <c:marker>
            <c:symbol val="diamond"/>
            <c:size val="40"/>
            <c:spPr>
              <a:pattFill prst="wdDnDiag">
                <a:fgClr>
                  <a:srgbClr val="2276E6"/>
                </a:fgClr>
                <a:bgClr>
                  <a:sysClr val="window" lastClr="FFFFFF"/>
                </a:bgClr>
              </a:pattFill>
              <a:ln w="6350">
                <a:solidFill>
                  <a:sysClr val="windowText" lastClr="000000"/>
                </a:solidFill>
              </a:ln>
              <a:effectLst/>
            </c:spPr>
          </c:marker>
          <c:xVal>
            <c:numRef>
              <c:f>'OldData_full+half_combiE'!$N$14:$N$21</c:f>
              <c:numCache>
                <c:formatCode>#,##0_);\(#,##0\)</c:formatCode>
                <c:ptCount val="8"/>
                <c:pt idx="0">
                  <c:v>6</c:v>
                </c:pt>
                <c:pt idx="1">
                  <c:v>4</c:v>
                </c:pt>
                <c:pt idx="2">
                  <c:v>4</c:v>
                </c:pt>
                <c:pt idx="3">
                  <c:v>5</c:v>
                </c:pt>
                <c:pt idx="4" formatCode="0">
                  <c:v>16</c:v>
                </c:pt>
                <c:pt idx="5">
                  <c:v>14</c:v>
                </c:pt>
                <c:pt idx="6">
                  <c:v>14</c:v>
                </c:pt>
                <c:pt idx="7">
                  <c:v>8</c:v>
                </c:pt>
              </c:numCache>
            </c:numRef>
          </c:xVal>
          <c:yVal>
            <c:numRef>
              <c:f>'OldData_full+half_combiE'!$K$14:$K$21</c:f>
              <c:numCache>
                <c:formatCode>0.00</c:formatCode>
                <c:ptCount val="8"/>
                <c:pt idx="0">
                  <c:v>0.74</c:v>
                </c:pt>
                <c:pt idx="1">
                  <c:v>0.68</c:v>
                </c:pt>
                <c:pt idx="2">
                  <c:v>0.91</c:v>
                </c:pt>
                <c:pt idx="3">
                  <c:v>1.08</c:v>
                </c:pt>
                <c:pt idx="4">
                  <c:v>1.55</c:v>
                </c:pt>
                <c:pt idx="5">
                  <c:v>0.95</c:v>
                </c:pt>
                <c:pt idx="6">
                  <c:v>2.2999999999999998</c:v>
                </c:pt>
                <c:pt idx="7">
                  <c:v>1.3</c:v>
                </c:pt>
              </c:numCache>
            </c:numRef>
          </c:yVal>
          <c:smooth val="0"/>
          <c:extLst xmlns:c15="http://schemas.microsoft.com/office/drawing/2012/chart">
            <c:ext xmlns:c16="http://schemas.microsoft.com/office/drawing/2014/chart" uri="{C3380CC4-5D6E-409C-BE32-E72D297353CC}">
              <c16:uniqueId val="{00000006-F398-4F66-9FA2-DC83624FA2BD}"/>
            </c:ext>
          </c:extLst>
        </c:ser>
        <c:ser>
          <c:idx val="7"/>
          <c:order val="7"/>
          <c:tx>
            <c:v>Convotherm</c:v>
          </c:tx>
          <c:spPr>
            <a:ln w="19050" cap="rnd">
              <a:noFill/>
              <a:round/>
            </a:ln>
            <a:effectLst/>
          </c:spPr>
          <c:marker>
            <c:symbol val="square"/>
            <c:size val="20"/>
            <c:spPr>
              <a:pattFill prst="pct50">
                <a:fgClr>
                  <a:srgbClr val="2276E6"/>
                </a:fgClr>
                <a:bgClr>
                  <a:sysClr val="window" lastClr="FFFFFF"/>
                </a:bgClr>
              </a:pattFill>
              <a:ln w="15875">
                <a:solidFill>
                  <a:sysClr val="windowText" lastClr="000000"/>
                </a:solidFill>
              </a:ln>
              <a:effectLst/>
            </c:spPr>
          </c:marker>
          <c:xVal>
            <c:numRef>
              <c:f>'OldData_full+half_combiE'!$N$22:$N$33</c:f>
              <c:numCache>
                <c:formatCode>#,##0_);\(#,##0\)</c:formatCode>
                <c:ptCount val="12"/>
                <c:pt idx="0">
                  <c:v>14</c:v>
                </c:pt>
                <c:pt idx="1">
                  <c:v>14</c:v>
                </c:pt>
                <c:pt idx="2">
                  <c:v>10</c:v>
                </c:pt>
                <c:pt idx="3">
                  <c:v>20</c:v>
                </c:pt>
                <c:pt idx="4">
                  <c:v>20</c:v>
                </c:pt>
                <c:pt idx="5">
                  <c:v>22</c:v>
                </c:pt>
                <c:pt idx="6">
                  <c:v>22</c:v>
                </c:pt>
                <c:pt idx="7">
                  <c:v>20</c:v>
                </c:pt>
                <c:pt idx="8">
                  <c:v>14</c:v>
                </c:pt>
                <c:pt idx="9">
                  <c:v>5</c:v>
                </c:pt>
                <c:pt idx="10">
                  <c:v>3</c:v>
                </c:pt>
                <c:pt idx="11">
                  <c:v>4</c:v>
                </c:pt>
              </c:numCache>
            </c:numRef>
          </c:xVal>
          <c:yVal>
            <c:numRef>
              <c:f>'OldData_full+half_combiE'!$K$22:$K$33</c:f>
              <c:numCache>
                <c:formatCode>0.00</c:formatCode>
                <c:ptCount val="12"/>
                <c:pt idx="0">
                  <c:v>1.42</c:v>
                </c:pt>
                <c:pt idx="1">
                  <c:v>1.36</c:v>
                </c:pt>
                <c:pt idx="2">
                  <c:v>1.19</c:v>
                </c:pt>
                <c:pt idx="3">
                  <c:v>1.74</c:v>
                </c:pt>
                <c:pt idx="4">
                  <c:v>1.68</c:v>
                </c:pt>
                <c:pt idx="5">
                  <c:v>1.74</c:v>
                </c:pt>
                <c:pt idx="6">
                  <c:v>1.68</c:v>
                </c:pt>
                <c:pt idx="7">
                  <c:v>1.7</c:v>
                </c:pt>
                <c:pt idx="8">
                  <c:v>1.59</c:v>
                </c:pt>
                <c:pt idx="9">
                  <c:v>0.73</c:v>
                </c:pt>
                <c:pt idx="10">
                  <c:v>0.6</c:v>
                </c:pt>
                <c:pt idx="11">
                  <c:v>0.61</c:v>
                </c:pt>
              </c:numCache>
            </c:numRef>
          </c:yVal>
          <c:smooth val="0"/>
          <c:extLst xmlns:c15="http://schemas.microsoft.com/office/drawing/2012/chart">
            <c:ext xmlns:c16="http://schemas.microsoft.com/office/drawing/2014/chart" uri="{C3380CC4-5D6E-409C-BE32-E72D297353CC}">
              <c16:uniqueId val="{00000007-F398-4F66-9FA2-DC83624FA2BD}"/>
            </c:ext>
          </c:extLst>
        </c:ser>
        <c:ser>
          <c:idx val="10"/>
          <c:order val="8"/>
          <c:tx>
            <c:v>Henny Penny</c:v>
          </c:tx>
          <c:spPr>
            <a:ln w="19050" cap="rnd">
              <a:noFill/>
              <a:round/>
            </a:ln>
            <a:effectLst/>
          </c:spPr>
          <c:marker>
            <c:symbol val="diamond"/>
            <c:size val="32"/>
            <c:spPr>
              <a:pattFill prst="wdDnDiag">
                <a:fgClr>
                  <a:srgbClr val="00B050"/>
                </a:fgClr>
                <a:bgClr>
                  <a:sysClr val="window" lastClr="FFFFFF"/>
                </a:bgClr>
              </a:pattFill>
              <a:ln w="6350">
                <a:solidFill>
                  <a:sysClr val="windowText" lastClr="000000"/>
                </a:solidFill>
              </a:ln>
              <a:effectLst/>
            </c:spPr>
          </c:marker>
          <c:xVal>
            <c:numRef>
              <c:f>'OldData_full+half_combiE'!$N$46:$N$54</c:f>
              <c:numCache>
                <c:formatCode>#,##0_);\(#,##0\)</c:formatCode>
                <c:ptCount val="9"/>
                <c:pt idx="0">
                  <c:v>10</c:v>
                </c:pt>
                <c:pt idx="1">
                  <c:v>10</c:v>
                </c:pt>
                <c:pt idx="2">
                  <c:v>20</c:v>
                </c:pt>
                <c:pt idx="3">
                  <c:v>20</c:v>
                </c:pt>
                <c:pt idx="4">
                  <c:v>6</c:v>
                </c:pt>
                <c:pt idx="5">
                  <c:v>6</c:v>
                </c:pt>
                <c:pt idx="6">
                  <c:v>6</c:v>
                </c:pt>
                <c:pt idx="7">
                  <c:v>12</c:v>
                </c:pt>
                <c:pt idx="8">
                  <c:v>6</c:v>
                </c:pt>
              </c:numCache>
            </c:numRef>
          </c:xVal>
          <c:yVal>
            <c:numRef>
              <c:f>'OldData_full+half_combiE'!$K$46:$K$54</c:f>
              <c:numCache>
                <c:formatCode>0.00</c:formatCode>
                <c:ptCount val="9"/>
                <c:pt idx="0">
                  <c:v>1.06</c:v>
                </c:pt>
                <c:pt idx="1">
                  <c:v>0.9</c:v>
                </c:pt>
                <c:pt idx="2">
                  <c:v>1.1100000000000001</c:v>
                </c:pt>
                <c:pt idx="3">
                  <c:v>1.81</c:v>
                </c:pt>
                <c:pt idx="4">
                  <c:v>0.63</c:v>
                </c:pt>
                <c:pt idx="5">
                  <c:v>0.87</c:v>
                </c:pt>
                <c:pt idx="6">
                  <c:v>0.75</c:v>
                </c:pt>
                <c:pt idx="7">
                  <c:v>0.89</c:v>
                </c:pt>
                <c:pt idx="8">
                  <c:v>0.59</c:v>
                </c:pt>
              </c:numCache>
            </c:numRef>
          </c:yVal>
          <c:smooth val="0"/>
          <c:extLst xmlns:c15="http://schemas.microsoft.com/office/drawing/2012/chart">
            <c:ext xmlns:c16="http://schemas.microsoft.com/office/drawing/2014/chart" uri="{C3380CC4-5D6E-409C-BE32-E72D297353CC}">
              <c16:uniqueId val="{00000008-F398-4F66-9FA2-DC83624FA2BD}"/>
            </c:ext>
          </c:extLst>
        </c:ser>
        <c:ser>
          <c:idx val="8"/>
          <c:order val="9"/>
          <c:tx>
            <c:v>Electrolux</c:v>
          </c:tx>
          <c:spPr>
            <a:ln w="19050" cap="rnd">
              <a:noFill/>
              <a:round/>
            </a:ln>
            <a:effectLst/>
          </c:spPr>
          <c:marker>
            <c:symbol val="triangle"/>
            <c:size val="26"/>
            <c:spPr>
              <a:solidFill>
                <a:srgbClr val="2276E6"/>
              </a:solidFill>
              <a:ln w="6350">
                <a:solidFill>
                  <a:sysClr val="windowText" lastClr="000000"/>
                </a:solidFill>
              </a:ln>
              <a:effectLst/>
            </c:spPr>
          </c:marker>
          <c:xVal>
            <c:numRef>
              <c:f>'OldData_full+half_combiE'!$N$34:$N$37</c:f>
              <c:numCache>
                <c:formatCode>#,##0_);\(#,##0\)</c:formatCode>
                <c:ptCount val="4"/>
                <c:pt idx="0">
                  <c:v>10</c:v>
                </c:pt>
                <c:pt idx="1">
                  <c:v>10</c:v>
                </c:pt>
                <c:pt idx="2">
                  <c:v>6</c:v>
                </c:pt>
                <c:pt idx="3">
                  <c:v>6</c:v>
                </c:pt>
              </c:numCache>
            </c:numRef>
          </c:xVal>
          <c:yVal>
            <c:numRef>
              <c:f>'OldData_full+half_combiE'!$K$34:$K$37</c:f>
              <c:numCache>
                <c:formatCode>0.00</c:formatCode>
                <c:ptCount val="4"/>
                <c:pt idx="0">
                  <c:v>0.97</c:v>
                </c:pt>
                <c:pt idx="1">
                  <c:v>1.32</c:v>
                </c:pt>
                <c:pt idx="2">
                  <c:v>0.74</c:v>
                </c:pt>
                <c:pt idx="3">
                  <c:v>1.1200000000000001</c:v>
                </c:pt>
              </c:numCache>
            </c:numRef>
          </c:yVal>
          <c:smooth val="0"/>
          <c:extLst xmlns:c15="http://schemas.microsoft.com/office/drawing/2012/chart">
            <c:ext xmlns:c16="http://schemas.microsoft.com/office/drawing/2014/chart" uri="{C3380CC4-5D6E-409C-BE32-E72D297353CC}">
              <c16:uniqueId val="{00000009-F398-4F66-9FA2-DC83624FA2BD}"/>
            </c:ext>
          </c:extLst>
        </c:ser>
        <c:ser>
          <c:idx val="9"/>
          <c:order val="10"/>
          <c:tx>
            <c:v>Eloma</c:v>
          </c:tx>
          <c:spPr>
            <a:ln w="19050" cap="rnd">
              <a:noFill/>
              <a:round/>
            </a:ln>
            <a:effectLst/>
          </c:spPr>
          <c:marker>
            <c:symbol val="circle"/>
            <c:size val="20"/>
            <c:spPr>
              <a:solidFill>
                <a:srgbClr val="00B050"/>
              </a:solidFill>
              <a:ln w="9525">
                <a:solidFill>
                  <a:sysClr val="windowText" lastClr="000000"/>
                </a:solidFill>
              </a:ln>
              <a:effectLst/>
            </c:spPr>
          </c:marker>
          <c:xVal>
            <c:numRef>
              <c:f>'OldData_full+half_combiE'!$N$38:$N$40</c:f>
              <c:numCache>
                <c:formatCode>#,##0_);\(#,##0\)</c:formatCode>
                <c:ptCount val="3"/>
                <c:pt idx="0">
                  <c:v>24</c:v>
                </c:pt>
                <c:pt idx="1">
                  <c:v>5</c:v>
                </c:pt>
                <c:pt idx="2">
                  <c:v>40</c:v>
                </c:pt>
              </c:numCache>
            </c:numRef>
          </c:xVal>
          <c:yVal>
            <c:numRef>
              <c:f>'OldData_full+half_combiE'!$K$38:$K$40</c:f>
              <c:numCache>
                <c:formatCode>0.00</c:formatCode>
                <c:ptCount val="3"/>
                <c:pt idx="0">
                  <c:v>2.0099999999999998</c:v>
                </c:pt>
                <c:pt idx="1">
                  <c:v>1.65</c:v>
                </c:pt>
                <c:pt idx="2">
                  <c:v>3.73</c:v>
                </c:pt>
              </c:numCache>
            </c:numRef>
          </c:yVal>
          <c:smooth val="0"/>
          <c:extLst xmlns:c15="http://schemas.microsoft.com/office/drawing/2012/chart">
            <c:ext xmlns:c16="http://schemas.microsoft.com/office/drawing/2014/chart" uri="{C3380CC4-5D6E-409C-BE32-E72D297353CC}">
              <c16:uniqueId val="{0000000A-F398-4F66-9FA2-DC83624FA2BD}"/>
            </c:ext>
          </c:extLst>
        </c:ser>
        <c:ser>
          <c:idx val="11"/>
          <c:order val="11"/>
          <c:tx>
            <c:v>Hobart</c:v>
          </c:tx>
          <c:spPr>
            <a:ln w="19050" cap="rnd">
              <a:noFill/>
              <a:round/>
            </a:ln>
            <a:effectLst/>
          </c:spPr>
          <c:marker>
            <c:symbol val="square"/>
            <c:size val="25"/>
            <c:spPr>
              <a:solidFill>
                <a:srgbClr val="00B050"/>
              </a:solidFill>
              <a:ln w="6350">
                <a:solidFill>
                  <a:sysClr val="windowText" lastClr="000000"/>
                </a:solidFill>
              </a:ln>
              <a:effectLst/>
            </c:spPr>
          </c:marker>
          <c:xVal>
            <c:numRef>
              <c:f>'OldData_full+half_combiE'!$N$55:$N$56</c:f>
              <c:numCache>
                <c:formatCode>#,##0_);\(#,##0\)</c:formatCode>
                <c:ptCount val="2"/>
                <c:pt idx="0">
                  <c:v>38</c:v>
                </c:pt>
                <c:pt idx="1">
                  <c:v>20</c:v>
                </c:pt>
              </c:numCache>
            </c:numRef>
          </c:xVal>
          <c:yVal>
            <c:numRef>
              <c:f>'OldData_full+half_combiE'!$K$55:$K$56</c:f>
              <c:numCache>
                <c:formatCode>0.00</c:formatCode>
                <c:ptCount val="2"/>
                <c:pt idx="0">
                  <c:v>4</c:v>
                </c:pt>
                <c:pt idx="1">
                  <c:v>2.4300000000000002</c:v>
                </c:pt>
              </c:numCache>
            </c:numRef>
          </c:yVal>
          <c:smooth val="0"/>
          <c:extLst xmlns:c15="http://schemas.microsoft.com/office/drawing/2012/chart">
            <c:ext xmlns:c16="http://schemas.microsoft.com/office/drawing/2014/chart" uri="{C3380CC4-5D6E-409C-BE32-E72D297353CC}">
              <c16:uniqueId val="{0000000B-F398-4F66-9FA2-DC83624FA2BD}"/>
            </c:ext>
          </c:extLst>
        </c:ser>
        <c:ser>
          <c:idx val="12"/>
          <c:order val="12"/>
          <c:tx>
            <c:v>Lainox</c:v>
          </c:tx>
          <c:spPr>
            <a:ln w="19050" cap="rnd">
              <a:noFill/>
              <a:round/>
            </a:ln>
            <a:effectLst/>
          </c:spPr>
          <c:marker>
            <c:symbol val="triangle"/>
            <c:size val="26"/>
            <c:spPr>
              <a:solidFill>
                <a:srgbClr val="00B050"/>
              </a:solidFill>
              <a:ln w="9525">
                <a:solidFill>
                  <a:sysClr val="windowText" lastClr="000000"/>
                </a:solidFill>
              </a:ln>
              <a:effectLst/>
            </c:spPr>
          </c:marker>
          <c:xVal>
            <c:numRef>
              <c:f>'OldData_full+half_combiE'!$N$57:$N$66</c:f>
              <c:numCache>
                <c:formatCode>#,##0_);\(#,##0\)</c:formatCode>
                <c:ptCount val="10"/>
                <c:pt idx="0">
                  <c:v>7</c:v>
                </c:pt>
                <c:pt idx="1">
                  <c:v>14</c:v>
                </c:pt>
                <c:pt idx="2">
                  <c:v>10</c:v>
                </c:pt>
                <c:pt idx="3">
                  <c:v>20</c:v>
                </c:pt>
                <c:pt idx="4">
                  <c:v>20</c:v>
                </c:pt>
                <c:pt idx="5">
                  <c:v>7</c:v>
                </c:pt>
                <c:pt idx="6">
                  <c:v>14</c:v>
                </c:pt>
                <c:pt idx="7">
                  <c:v>10</c:v>
                </c:pt>
                <c:pt idx="8">
                  <c:v>20</c:v>
                </c:pt>
                <c:pt idx="9">
                  <c:v>20</c:v>
                </c:pt>
              </c:numCache>
            </c:numRef>
          </c:xVal>
          <c:yVal>
            <c:numRef>
              <c:f>'OldData_full+half_combiE'!$K$57:$K$66</c:f>
              <c:numCache>
                <c:formatCode>0.00</c:formatCode>
                <c:ptCount val="10"/>
                <c:pt idx="0">
                  <c:v>1.03</c:v>
                </c:pt>
                <c:pt idx="1">
                  <c:v>1.6</c:v>
                </c:pt>
                <c:pt idx="2">
                  <c:v>1.21</c:v>
                </c:pt>
                <c:pt idx="3">
                  <c:v>1.88</c:v>
                </c:pt>
                <c:pt idx="4">
                  <c:v>1.97</c:v>
                </c:pt>
                <c:pt idx="5">
                  <c:v>1.03</c:v>
                </c:pt>
                <c:pt idx="6">
                  <c:v>1.27</c:v>
                </c:pt>
                <c:pt idx="7">
                  <c:v>1.21</c:v>
                </c:pt>
                <c:pt idx="8">
                  <c:v>1.76</c:v>
                </c:pt>
                <c:pt idx="9">
                  <c:v>1.97</c:v>
                </c:pt>
              </c:numCache>
            </c:numRef>
          </c:yVal>
          <c:smooth val="0"/>
          <c:extLst xmlns:c15="http://schemas.microsoft.com/office/drawing/2012/chart">
            <c:ext xmlns:c16="http://schemas.microsoft.com/office/drawing/2014/chart" uri="{C3380CC4-5D6E-409C-BE32-E72D297353CC}">
              <c16:uniqueId val="{0000000C-F398-4F66-9FA2-DC83624FA2BD}"/>
            </c:ext>
          </c:extLst>
        </c:ser>
        <c:ser>
          <c:idx val="13"/>
          <c:order val="13"/>
          <c:tx>
            <c:v>Moffat</c:v>
          </c:tx>
          <c:spPr>
            <a:ln w="19050" cap="rnd">
              <a:noFill/>
              <a:round/>
            </a:ln>
            <a:effectLst/>
          </c:spPr>
          <c:marker>
            <c:symbol val="circle"/>
            <c:size val="16"/>
            <c:spPr>
              <a:solidFill>
                <a:srgbClr val="FF0000"/>
              </a:solidFill>
              <a:ln w="9525">
                <a:solidFill>
                  <a:sysClr val="windowText" lastClr="000000"/>
                </a:solidFill>
              </a:ln>
              <a:effectLst/>
            </c:spPr>
          </c:marker>
          <c:xVal>
            <c:numRef>
              <c:f>'OldData_full+half_combiE'!$N$67</c:f>
              <c:numCache>
                <c:formatCode>#,##0_);\(#,##0\)</c:formatCode>
                <c:ptCount val="1"/>
                <c:pt idx="0">
                  <c:v>5</c:v>
                </c:pt>
              </c:numCache>
            </c:numRef>
          </c:xVal>
          <c:yVal>
            <c:numRef>
              <c:f>'OldData_full+half_combiE'!$K$67</c:f>
              <c:numCache>
                <c:formatCode>0.00</c:formatCode>
                <c:ptCount val="1"/>
                <c:pt idx="0">
                  <c:v>1.01</c:v>
                </c:pt>
              </c:numCache>
            </c:numRef>
          </c:yVal>
          <c:smooth val="0"/>
          <c:extLst xmlns:c15="http://schemas.microsoft.com/office/drawing/2012/chart">
            <c:ext xmlns:c16="http://schemas.microsoft.com/office/drawing/2014/chart" uri="{C3380CC4-5D6E-409C-BE32-E72D297353CC}">
              <c16:uniqueId val="{0000000D-F398-4F66-9FA2-DC83624FA2BD}"/>
            </c:ext>
          </c:extLst>
        </c:ser>
        <c:ser>
          <c:idx val="14"/>
          <c:order val="14"/>
          <c:tx>
            <c:v>Piper</c:v>
          </c:tx>
          <c:spPr>
            <a:ln w="19050" cap="rnd">
              <a:noFill/>
              <a:round/>
            </a:ln>
            <a:effectLst/>
          </c:spPr>
          <c:marker>
            <c:symbol val="diamond"/>
            <c:size val="24"/>
            <c:spPr>
              <a:pattFill prst="wdDnDiag">
                <a:fgClr>
                  <a:srgbClr val="FF0000"/>
                </a:fgClr>
                <a:bgClr>
                  <a:sysClr val="window" lastClr="FFFFFF"/>
                </a:bgClr>
              </a:pattFill>
              <a:ln w="9525">
                <a:solidFill>
                  <a:sysClr val="windowText" lastClr="000000"/>
                </a:solidFill>
              </a:ln>
              <a:effectLst/>
            </c:spPr>
          </c:marker>
          <c:xVal>
            <c:numRef>
              <c:f>'OldData_full+half_combiE'!$N$69</c:f>
              <c:numCache>
                <c:formatCode>#,##0_);\(#,##0\)</c:formatCode>
                <c:ptCount val="1"/>
                <c:pt idx="0">
                  <c:v>6</c:v>
                </c:pt>
              </c:numCache>
            </c:numRef>
          </c:xVal>
          <c:yVal>
            <c:numRef>
              <c:f>'OldData_full+half_combiE'!$K$69</c:f>
              <c:numCache>
                <c:formatCode>0.00</c:formatCode>
                <c:ptCount val="1"/>
                <c:pt idx="0">
                  <c:v>1.1299999999999999</c:v>
                </c:pt>
              </c:numCache>
            </c:numRef>
          </c:yVal>
          <c:smooth val="0"/>
          <c:extLst xmlns:c15="http://schemas.microsoft.com/office/drawing/2012/chart">
            <c:ext xmlns:c16="http://schemas.microsoft.com/office/drawing/2014/chart" uri="{C3380CC4-5D6E-409C-BE32-E72D297353CC}">
              <c16:uniqueId val="{0000000E-F398-4F66-9FA2-DC83624FA2BD}"/>
            </c:ext>
          </c:extLst>
        </c:ser>
        <c:ser>
          <c:idx val="16"/>
          <c:order val="15"/>
          <c:tx>
            <c:v>Retigo s.r.o</c:v>
          </c:tx>
          <c:spPr>
            <a:ln w="19050" cap="rnd">
              <a:noFill/>
              <a:round/>
            </a:ln>
            <a:effectLst/>
          </c:spPr>
          <c:marker>
            <c:symbol val="triangle"/>
            <c:size val="22"/>
            <c:spPr>
              <a:pattFill prst="pct75">
                <a:fgClr>
                  <a:srgbClr val="FF0000"/>
                </a:fgClr>
                <a:bgClr>
                  <a:sysClr val="window" lastClr="FFFFFF"/>
                </a:bgClr>
              </a:pattFill>
              <a:ln w="9525">
                <a:solidFill>
                  <a:sysClr val="windowText" lastClr="000000"/>
                </a:solidFill>
              </a:ln>
              <a:effectLst/>
            </c:spPr>
          </c:marker>
          <c:xVal>
            <c:numRef>
              <c:f>'OldData_full+half_combiE'!$N$96</c:f>
              <c:numCache>
                <c:formatCode>#,##0_);\(#,##0\)</c:formatCode>
                <c:ptCount val="1"/>
                <c:pt idx="0">
                  <c:v>10</c:v>
                </c:pt>
              </c:numCache>
            </c:numRef>
          </c:xVal>
          <c:yVal>
            <c:numRef>
              <c:f>'OldData_full+half_combiE'!$K$96</c:f>
              <c:numCache>
                <c:formatCode>0.00</c:formatCode>
                <c:ptCount val="1"/>
                <c:pt idx="0">
                  <c:v>1.01</c:v>
                </c:pt>
              </c:numCache>
            </c:numRef>
          </c:yVal>
          <c:smooth val="0"/>
          <c:extLst xmlns:c15="http://schemas.microsoft.com/office/drawing/2012/chart">
            <c:ext xmlns:c16="http://schemas.microsoft.com/office/drawing/2014/chart" uri="{C3380CC4-5D6E-409C-BE32-E72D297353CC}">
              <c16:uniqueId val="{0000000F-F398-4F66-9FA2-DC83624FA2BD}"/>
            </c:ext>
          </c:extLst>
        </c:ser>
        <c:ser>
          <c:idx val="15"/>
          <c:order val="16"/>
          <c:tx>
            <c:v>Rational AG</c:v>
          </c:tx>
          <c:spPr>
            <a:ln w="19050" cap="rnd">
              <a:noFill/>
              <a:round/>
            </a:ln>
            <a:effectLst/>
          </c:spPr>
          <c:marker>
            <c:symbol val="square"/>
            <c:size val="10"/>
            <c:spPr>
              <a:solidFill>
                <a:srgbClr val="FF0000"/>
              </a:solidFill>
              <a:ln w="6350">
                <a:solidFill>
                  <a:sysClr val="windowText" lastClr="000000"/>
                </a:solidFill>
              </a:ln>
              <a:effectLst/>
            </c:spPr>
          </c:marker>
          <c:xVal>
            <c:numRef>
              <c:f>'OldData_full+half_combiE'!$N$71:$N$95</c:f>
              <c:numCache>
                <c:formatCode>#,##0_);\(#,##0\)</c:formatCode>
                <c:ptCount val="25"/>
                <c:pt idx="0">
                  <c:v>6</c:v>
                </c:pt>
                <c:pt idx="1">
                  <c:v>6</c:v>
                </c:pt>
                <c:pt idx="2">
                  <c:v>6</c:v>
                </c:pt>
                <c:pt idx="3">
                  <c:v>10</c:v>
                </c:pt>
                <c:pt idx="4">
                  <c:v>6</c:v>
                </c:pt>
                <c:pt idx="5">
                  <c:v>12</c:v>
                </c:pt>
                <c:pt idx="6">
                  <c:v>12</c:v>
                </c:pt>
                <c:pt idx="7">
                  <c:v>10</c:v>
                </c:pt>
                <c:pt idx="8">
                  <c:v>20</c:v>
                </c:pt>
                <c:pt idx="9">
                  <c:v>20</c:v>
                </c:pt>
                <c:pt idx="10">
                  <c:v>20</c:v>
                </c:pt>
                <c:pt idx="11">
                  <c:v>10</c:v>
                </c:pt>
                <c:pt idx="12">
                  <c:v>20</c:v>
                </c:pt>
                <c:pt idx="13">
                  <c:v>20</c:v>
                </c:pt>
                <c:pt idx="14">
                  <c:v>20</c:v>
                </c:pt>
                <c:pt idx="15">
                  <c:v>6</c:v>
                </c:pt>
                <c:pt idx="16">
                  <c:v>6</c:v>
                </c:pt>
                <c:pt idx="17">
                  <c:v>12</c:v>
                </c:pt>
                <c:pt idx="18">
                  <c:v>12</c:v>
                </c:pt>
                <c:pt idx="19">
                  <c:v>40</c:v>
                </c:pt>
                <c:pt idx="20">
                  <c:v>10</c:v>
                </c:pt>
                <c:pt idx="21">
                  <c:v>12</c:v>
                </c:pt>
                <c:pt idx="22">
                  <c:v>20</c:v>
                </c:pt>
                <c:pt idx="23">
                  <c:v>6</c:v>
                </c:pt>
                <c:pt idx="24">
                  <c:v>6</c:v>
                </c:pt>
              </c:numCache>
            </c:numRef>
          </c:xVal>
          <c:yVal>
            <c:numRef>
              <c:f>'OldData_full+half_combiE'!$K$71:$K$95</c:f>
              <c:numCache>
                <c:formatCode>0.00</c:formatCode>
                <c:ptCount val="25"/>
                <c:pt idx="0">
                  <c:v>0.95</c:v>
                </c:pt>
                <c:pt idx="1">
                  <c:v>1.31</c:v>
                </c:pt>
                <c:pt idx="2">
                  <c:v>0.92</c:v>
                </c:pt>
                <c:pt idx="3">
                  <c:v>1.1299999999999999</c:v>
                </c:pt>
                <c:pt idx="4">
                  <c:v>0.7</c:v>
                </c:pt>
                <c:pt idx="5">
                  <c:v>0.95</c:v>
                </c:pt>
                <c:pt idx="6">
                  <c:v>0.98</c:v>
                </c:pt>
                <c:pt idx="7">
                  <c:v>0.97</c:v>
                </c:pt>
                <c:pt idx="8">
                  <c:v>1.74</c:v>
                </c:pt>
                <c:pt idx="9">
                  <c:v>1.22</c:v>
                </c:pt>
                <c:pt idx="10">
                  <c:v>1.27</c:v>
                </c:pt>
                <c:pt idx="11">
                  <c:v>1.1499999999999999</c:v>
                </c:pt>
                <c:pt idx="12">
                  <c:v>2</c:v>
                </c:pt>
                <c:pt idx="13">
                  <c:v>1.48</c:v>
                </c:pt>
                <c:pt idx="14">
                  <c:v>2.1</c:v>
                </c:pt>
                <c:pt idx="15">
                  <c:v>0.99</c:v>
                </c:pt>
                <c:pt idx="16">
                  <c:v>0.84</c:v>
                </c:pt>
                <c:pt idx="17">
                  <c:v>1.32</c:v>
                </c:pt>
                <c:pt idx="18">
                  <c:v>1.31</c:v>
                </c:pt>
                <c:pt idx="19">
                  <c:v>3</c:v>
                </c:pt>
                <c:pt idx="20">
                  <c:v>1.1299999999999999</c:v>
                </c:pt>
                <c:pt idx="21">
                  <c:v>1.32</c:v>
                </c:pt>
                <c:pt idx="22">
                  <c:v>2</c:v>
                </c:pt>
                <c:pt idx="23">
                  <c:v>0.92</c:v>
                </c:pt>
                <c:pt idx="24">
                  <c:v>0.99</c:v>
                </c:pt>
              </c:numCache>
            </c:numRef>
          </c:yVal>
          <c:smooth val="0"/>
          <c:extLst xmlns:c15="http://schemas.microsoft.com/office/drawing/2012/chart">
            <c:ext xmlns:c16="http://schemas.microsoft.com/office/drawing/2014/chart" uri="{C3380CC4-5D6E-409C-BE32-E72D297353CC}">
              <c16:uniqueId val="{00000010-F398-4F66-9FA2-DC83624FA2BD}"/>
            </c:ext>
          </c:extLst>
        </c:ser>
        <c:ser>
          <c:idx val="17"/>
          <c:order val="17"/>
          <c:tx>
            <c:v>UNOX</c:v>
          </c:tx>
          <c:spPr>
            <a:ln w="19050" cap="rnd">
              <a:noFill/>
              <a:round/>
            </a:ln>
            <a:effectLst/>
          </c:spPr>
          <c:marker>
            <c:symbol val="circle"/>
            <c:size val="8"/>
            <c:spPr>
              <a:solidFill>
                <a:srgbClr val="FFC000"/>
              </a:solidFill>
              <a:ln w="6350">
                <a:solidFill>
                  <a:sysClr val="windowText" lastClr="000000"/>
                </a:solidFill>
              </a:ln>
              <a:effectLst/>
            </c:spPr>
          </c:marker>
          <c:xVal>
            <c:numRef>
              <c:f>'OldData_full+half_combiE'!$N$97:$N$110</c:f>
              <c:numCache>
                <c:formatCode>#,##0_);\(#,##0\)</c:formatCode>
                <c:ptCount val="14"/>
                <c:pt idx="0">
                  <c:v>5</c:v>
                </c:pt>
                <c:pt idx="1">
                  <c:v>5</c:v>
                </c:pt>
                <c:pt idx="2">
                  <c:v>5</c:v>
                </c:pt>
                <c:pt idx="3">
                  <c:v>12</c:v>
                </c:pt>
                <c:pt idx="4">
                  <c:v>10</c:v>
                </c:pt>
                <c:pt idx="5">
                  <c:v>10</c:v>
                </c:pt>
                <c:pt idx="6">
                  <c:v>20</c:v>
                </c:pt>
                <c:pt idx="7">
                  <c:v>5</c:v>
                </c:pt>
                <c:pt idx="8">
                  <c:v>7</c:v>
                </c:pt>
                <c:pt idx="9">
                  <c:v>10</c:v>
                </c:pt>
                <c:pt idx="10">
                  <c:v>20</c:v>
                </c:pt>
                <c:pt idx="11">
                  <c:v>20</c:v>
                </c:pt>
                <c:pt idx="12">
                  <c:v>32</c:v>
                </c:pt>
                <c:pt idx="13">
                  <c:v>32</c:v>
                </c:pt>
              </c:numCache>
            </c:numRef>
          </c:xVal>
          <c:yVal>
            <c:numRef>
              <c:f>'OldData_full+half_combiE'!$K$97:$K$110</c:f>
              <c:numCache>
                <c:formatCode>0.00</c:formatCode>
                <c:ptCount val="14"/>
                <c:pt idx="0">
                  <c:v>0.75</c:v>
                </c:pt>
                <c:pt idx="1">
                  <c:v>0.81</c:v>
                </c:pt>
                <c:pt idx="2">
                  <c:v>0.81</c:v>
                </c:pt>
                <c:pt idx="3">
                  <c:v>1.1299999999999999</c:v>
                </c:pt>
                <c:pt idx="4">
                  <c:v>1.25</c:v>
                </c:pt>
                <c:pt idx="5">
                  <c:v>1.27</c:v>
                </c:pt>
                <c:pt idx="6">
                  <c:v>1.57</c:v>
                </c:pt>
                <c:pt idx="7">
                  <c:v>0.73</c:v>
                </c:pt>
                <c:pt idx="8">
                  <c:v>1</c:v>
                </c:pt>
                <c:pt idx="9">
                  <c:v>1.08</c:v>
                </c:pt>
                <c:pt idx="10">
                  <c:v>2.1</c:v>
                </c:pt>
                <c:pt idx="11">
                  <c:v>2.1</c:v>
                </c:pt>
                <c:pt idx="12">
                  <c:v>3.03</c:v>
                </c:pt>
                <c:pt idx="13">
                  <c:v>2.86</c:v>
                </c:pt>
              </c:numCache>
            </c:numRef>
          </c:yVal>
          <c:smooth val="0"/>
          <c:extLst xmlns:c15="http://schemas.microsoft.com/office/drawing/2012/chart">
            <c:ext xmlns:c16="http://schemas.microsoft.com/office/drawing/2014/chart" uri="{C3380CC4-5D6E-409C-BE32-E72D297353CC}">
              <c16:uniqueId val="{00000011-F398-4F66-9FA2-DC83624FA2BD}"/>
            </c:ext>
          </c:extLst>
        </c:ser>
        <c:ser>
          <c:idx val="18"/>
          <c:order val="18"/>
          <c:tx>
            <c:v>Masked Data</c:v>
          </c:tx>
          <c:spPr>
            <a:ln w="19050" cap="rnd">
              <a:noFill/>
              <a:round/>
            </a:ln>
            <a:effectLst/>
          </c:spPr>
          <c:marker>
            <c:symbol val="circle"/>
            <c:size val="13"/>
            <c:spPr>
              <a:solidFill>
                <a:srgbClr val="E7E6E6">
                  <a:lumMod val="90000"/>
                </a:srgbClr>
              </a:solidFill>
              <a:ln w="9525">
                <a:solidFill>
                  <a:sysClr val="windowText" lastClr="000000"/>
                </a:solidFill>
              </a:ln>
              <a:effectLst/>
            </c:spPr>
          </c:marker>
          <c:xVal>
            <c:numRef>
              <c:f>'OldData_full+half_combiE'!$N$111:$N$125</c:f>
              <c:numCache>
                <c:formatCode>#,##0_);\(#,##0\)</c:formatCode>
                <c:ptCount val="15"/>
                <c:pt idx="0">
                  <c:v>20</c:v>
                </c:pt>
                <c:pt idx="1">
                  <c:v>20</c:v>
                </c:pt>
                <c:pt idx="2">
                  <c:v>20</c:v>
                </c:pt>
                <c:pt idx="3">
                  <c:v>14</c:v>
                </c:pt>
                <c:pt idx="4">
                  <c:v>14</c:v>
                </c:pt>
                <c:pt idx="5">
                  <c:v>14</c:v>
                </c:pt>
                <c:pt idx="6">
                  <c:v>11</c:v>
                </c:pt>
                <c:pt idx="7">
                  <c:v>9</c:v>
                </c:pt>
                <c:pt idx="8">
                  <c:v>6</c:v>
                </c:pt>
                <c:pt idx="9">
                  <c:v>6</c:v>
                </c:pt>
                <c:pt idx="10">
                  <c:v>5</c:v>
                </c:pt>
                <c:pt idx="11">
                  <c:v>5</c:v>
                </c:pt>
                <c:pt idx="12">
                  <c:v>5</c:v>
                </c:pt>
                <c:pt idx="13">
                  <c:v>4</c:v>
                </c:pt>
                <c:pt idx="14">
                  <c:v>3</c:v>
                </c:pt>
              </c:numCache>
            </c:numRef>
          </c:xVal>
          <c:yVal>
            <c:numRef>
              <c:f>'OldData_full+half_combiE'!$K$111:$K$125</c:f>
              <c:numCache>
                <c:formatCode>0.00</c:formatCode>
                <c:ptCount val="15"/>
                <c:pt idx="0">
                  <c:v>2</c:v>
                </c:pt>
                <c:pt idx="1">
                  <c:v>2.86</c:v>
                </c:pt>
                <c:pt idx="2">
                  <c:v>1.8</c:v>
                </c:pt>
                <c:pt idx="3">
                  <c:v>2.2999999999999998</c:v>
                </c:pt>
                <c:pt idx="4">
                  <c:v>1.56</c:v>
                </c:pt>
                <c:pt idx="5">
                  <c:v>1.61</c:v>
                </c:pt>
                <c:pt idx="6">
                  <c:v>1.2</c:v>
                </c:pt>
                <c:pt idx="7">
                  <c:v>1.56</c:v>
                </c:pt>
                <c:pt idx="8">
                  <c:v>1.1299999999999999</c:v>
                </c:pt>
                <c:pt idx="9">
                  <c:v>1.02</c:v>
                </c:pt>
                <c:pt idx="10">
                  <c:v>1.08</c:v>
                </c:pt>
                <c:pt idx="11">
                  <c:v>1.65</c:v>
                </c:pt>
                <c:pt idx="12">
                  <c:v>1.65</c:v>
                </c:pt>
                <c:pt idx="13">
                  <c:v>0.76</c:v>
                </c:pt>
                <c:pt idx="14">
                  <c:v>0.56999999999999995</c:v>
                </c:pt>
              </c:numCache>
            </c:numRef>
          </c:yVal>
          <c:smooth val="0"/>
          <c:extLst xmlns:c15="http://schemas.microsoft.com/office/drawing/2012/chart">
            <c:ext xmlns:c16="http://schemas.microsoft.com/office/drawing/2014/chart" uri="{C3380CC4-5D6E-409C-BE32-E72D297353CC}">
              <c16:uniqueId val="{00000012-F398-4F66-9FA2-DC83624FA2BD}"/>
            </c:ext>
          </c:extLst>
        </c:ser>
        <c:ser>
          <c:idx val="19"/>
          <c:order val="19"/>
          <c:tx>
            <c:v>Pratica</c:v>
          </c:tx>
          <c:spPr>
            <a:ln w="19050" cap="rnd">
              <a:noFill/>
              <a:round/>
            </a:ln>
            <a:effectLst/>
          </c:spPr>
          <c:marker>
            <c:symbol val="circle"/>
            <c:size val="8"/>
            <c:spPr>
              <a:solidFill>
                <a:srgbClr val="ED7D31"/>
              </a:solidFill>
              <a:ln w="9525">
                <a:solidFill>
                  <a:sysClr val="windowText" lastClr="000000"/>
                </a:solidFill>
              </a:ln>
              <a:effectLst/>
            </c:spPr>
          </c:marker>
          <c:xVal>
            <c:numRef>
              <c:f>'OldData_full+half_combiE'!$N$70</c:f>
              <c:numCache>
                <c:formatCode>#,##0_);\(#,##0\)</c:formatCode>
                <c:ptCount val="1"/>
                <c:pt idx="0">
                  <c:v>3</c:v>
                </c:pt>
              </c:numCache>
            </c:numRef>
          </c:xVal>
          <c:yVal>
            <c:numRef>
              <c:f>'OldData_full+half_combiE'!$K$70</c:f>
              <c:numCache>
                <c:formatCode>0.00</c:formatCode>
                <c:ptCount val="1"/>
                <c:pt idx="0">
                  <c:v>0.56999999999999995</c:v>
                </c:pt>
              </c:numCache>
            </c:numRef>
          </c:yVal>
          <c:smooth val="0"/>
          <c:extLst>
            <c:ext xmlns:c16="http://schemas.microsoft.com/office/drawing/2014/chart" uri="{C3380CC4-5D6E-409C-BE32-E72D297353CC}">
              <c16:uniqueId val="{00000000-2962-49FA-BA99-111C09B5C97F}"/>
            </c:ext>
          </c:extLst>
        </c:ser>
        <c:ser>
          <c:idx val="20"/>
          <c:order val="20"/>
          <c:tx>
            <c:v>Giorik</c:v>
          </c:tx>
          <c:spPr>
            <a:ln w="19050" cap="rnd">
              <a:noFill/>
              <a:round/>
            </a:ln>
            <a:effectLst/>
          </c:spPr>
          <c:marker>
            <c:symbol val="diamond"/>
            <c:size val="8"/>
            <c:spPr>
              <a:pattFill prst="wdDnDiag">
                <a:fgClr>
                  <a:srgbClr val="FFC000"/>
                </a:fgClr>
                <a:bgClr>
                  <a:sysClr val="window" lastClr="FFFFFF"/>
                </a:bgClr>
              </a:pattFill>
              <a:ln w="9525">
                <a:solidFill>
                  <a:sysClr val="windowText" lastClr="000000"/>
                </a:solidFill>
              </a:ln>
              <a:effectLst/>
            </c:spPr>
          </c:marker>
          <c:xVal>
            <c:numRef>
              <c:f>'OldData_full+half_combiE'!$N$41:$N$45</c:f>
              <c:numCache>
                <c:formatCode>#,##0_);\(#,##0\)</c:formatCode>
                <c:ptCount val="5"/>
                <c:pt idx="0">
                  <c:v>6</c:v>
                </c:pt>
                <c:pt idx="1">
                  <c:v>12</c:v>
                </c:pt>
                <c:pt idx="2">
                  <c:v>10</c:v>
                </c:pt>
                <c:pt idx="3">
                  <c:v>20</c:v>
                </c:pt>
                <c:pt idx="4">
                  <c:v>20</c:v>
                </c:pt>
              </c:numCache>
            </c:numRef>
          </c:xVal>
          <c:yVal>
            <c:numRef>
              <c:f>'OldData_full+half_combiE'!$K$41:$K$45</c:f>
              <c:numCache>
                <c:formatCode>0.00</c:formatCode>
                <c:ptCount val="5"/>
                <c:pt idx="0">
                  <c:v>1.08</c:v>
                </c:pt>
                <c:pt idx="1">
                  <c:v>1.28</c:v>
                </c:pt>
                <c:pt idx="2">
                  <c:v>1.3</c:v>
                </c:pt>
                <c:pt idx="3">
                  <c:v>1.69</c:v>
                </c:pt>
                <c:pt idx="4">
                  <c:v>1.69</c:v>
                </c:pt>
              </c:numCache>
            </c:numRef>
          </c:yVal>
          <c:smooth val="0"/>
          <c:extLst>
            <c:ext xmlns:c16="http://schemas.microsoft.com/office/drawing/2014/chart" uri="{C3380CC4-5D6E-409C-BE32-E72D297353CC}">
              <c16:uniqueId val="{00000001-2962-49FA-BA99-111C09B5C97F}"/>
            </c:ext>
          </c:extLst>
        </c:ser>
        <c:dLbls>
          <c:showLegendKey val="0"/>
          <c:showVal val="0"/>
          <c:showCatName val="0"/>
          <c:showSerName val="0"/>
          <c:showPercent val="0"/>
          <c:showBubbleSize val="0"/>
        </c:dLbls>
        <c:axId val="1339364527"/>
        <c:axId val="1486491071"/>
        <c:extLst/>
      </c:scatterChart>
      <c:valAx>
        <c:axId val="1339364527"/>
        <c:scaling>
          <c:orientation val="minMax"/>
          <c:max val="4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Pan Capacity</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6491071"/>
        <c:crosses val="autoZero"/>
        <c:crossBetween val="midCat"/>
      </c:valAx>
      <c:valAx>
        <c:axId val="1486491071"/>
        <c:scaling>
          <c:orientation val="minMax"/>
          <c:max val="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Convection</a:t>
                </a:r>
                <a:r>
                  <a:rPr lang="en-US" b="1" baseline="0"/>
                  <a:t> </a:t>
                </a:r>
                <a:r>
                  <a:rPr lang="en-US" b="1"/>
                  <a:t> Mode Idle, kW</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9364527"/>
        <c:crosses val="autoZero"/>
        <c:crossBetween val="midCat"/>
      </c:valAx>
      <c:spPr>
        <a:noFill/>
        <a:ln>
          <a:solidFill>
            <a:schemeClr val="bg2">
              <a:lumMod val="90000"/>
            </a:schemeClr>
          </a:solidFill>
        </a:ln>
        <a:effectLst/>
      </c:spPr>
    </c:plotArea>
    <c:legend>
      <c:legendPos val="r"/>
      <c:layout>
        <c:manualLayout>
          <c:xMode val="edge"/>
          <c:yMode val="edge"/>
          <c:x val="0.83880683619952678"/>
          <c:y val="2.0335390920588887E-3"/>
          <c:w val="0.16119316380047322"/>
          <c:h val="0.971991557227334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Steam Efficiency </a:t>
            </a:r>
          </a:p>
        </c:rich>
      </c:tx>
      <c:layout>
        <c:manualLayout>
          <c:xMode val="edge"/>
          <c:yMode val="edge"/>
          <c:x val="0.32184969237704919"/>
          <c:y val="1.82149027917089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6728977581204426E-2"/>
          <c:y val="6.4465324296189008E-2"/>
          <c:w val="0.72155759944411335"/>
          <c:h val="0.84347475217403511"/>
        </c:manualLayout>
      </c:layout>
      <c:scatterChart>
        <c:scatterStyle val="lineMarker"/>
        <c:varyColors val="0"/>
        <c:ser>
          <c:idx val="2"/>
          <c:order val="0"/>
          <c:tx>
            <c:v>New Min</c:v>
          </c:tx>
          <c:spPr>
            <a:ln w="41275" cap="rnd">
              <a:solidFill>
                <a:srgbClr val="70AD47">
                  <a:lumMod val="60000"/>
                  <a:lumOff val="40000"/>
                </a:srgbClr>
              </a:solidFill>
              <a:round/>
            </a:ln>
            <a:effectLst/>
          </c:spPr>
          <c:marker>
            <c:symbol val="none"/>
          </c:marker>
          <c:xVal>
            <c:numRef>
              <c:f>'Graph Electric combi Full+half'!$Z$40:$Z$41</c:f>
              <c:numCache>
                <c:formatCode>General</c:formatCode>
                <c:ptCount val="2"/>
                <c:pt idx="0">
                  <c:v>0</c:v>
                </c:pt>
                <c:pt idx="1">
                  <c:v>40</c:v>
                </c:pt>
              </c:numCache>
            </c:numRef>
          </c:xVal>
          <c:yVal>
            <c:numRef>
              <c:f>'Graph Electric combi Full+half'!$AA$40:$AA$41</c:f>
              <c:numCache>
                <c:formatCode>General</c:formatCode>
                <c:ptCount val="2"/>
                <c:pt idx="0">
                  <c:v>59</c:v>
                </c:pt>
                <c:pt idx="1">
                  <c:v>59</c:v>
                </c:pt>
              </c:numCache>
            </c:numRef>
          </c:yVal>
          <c:smooth val="0"/>
          <c:extLst>
            <c:ext xmlns:c16="http://schemas.microsoft.com/office/drawing/2014/chart" uri="{C3380CC4-5D6E-409C-BE32-E72D297353CC}">
              <c16:uniqueId val="{00000000-4548-4785-ABE0-B1B8C9C9C751}"/>
            </c:ext>
          </c:extLst>
        </c:ser>
        <c:ser>
          <c:idx val="5"/>
          <c:order val="1"/>
          <c:tx>
            <c:v>Current Min</c:v>
          </c:tx>
          <c:spPr>
            <a:ln w="19050" cap="rnd">
              <a:solidFill>
                <a:sysClr val="windowText" lastClr="000000"/>
              </a:solidFill>
              <a:prstDash val="dash"/>
              <a:round/>
            </a:ln>
            <a:effectLst/>
          </c:spPr>
          <c:marker>
            <c:symbol val="none"/>
          </c:marker>
          <c:xVal>
            <c:numRef>
              <c:f>'Graph Electric combi Full+half'!$Y$49:$Y$50</c:f>
              <c:numCache>
                <c:formatCode>General</c:formatCode>
                <c:ptCount val="2"/>
                <c:pt idx="0">
                  <c:v>0</c:v>
                </c:pt>
                <c:pt idx="1">
                  <c:v>40</c:v>
                </c:pt>
              </c:numCache>
            </c:numRef>
          </c:xVal>
          <c:yVal>
            <c:numRef>
              <c:f>'Graph Electric combi Full+half'!$Z$49:$Z$50</c:f>
              <c:numCache>
                <c:formatCode>General</c:formatCode>
                <c:ptCount val="2"/>
                <c:pt idx="0">
                  <c:v>55</c:v>
                </c:pt>
                <c:pt idx="1">
                  <c:v>55</c:v>
                </c:pt>
              </c:numCache>
            </c:numRef>
          </c:yVal>
          <c:smooth val="0"/>
          <c:extLst>
            <c:ext xmlns:c16="http://schemas.microsoft.com/office/drawing/2014/chart" uri="{C3380CC4-5D6E-409C-BE32-E72D297353CC}">
              <c16:uniqueId val="{00000001-4548-4785-ABE0-B1B8C9C9C751}"/>
            </c:ext>
          </c:extLst>
        </c:ser>
        <c:ser>
          <c:idx val="1"/>
          <c:order val="2"/>
          <c:tx>
            <c:v>Alto-Shaam</c:v>
          </c:tx>
          <c:spPr>
            <a:ln w="19050" cap="rnd">
              <a:noFill/>
              <a:round/>
            </a:ln>
            <a:effectLst/>
          </c:spPr>
          <c:marker>
            <c:symbol val="square"/>
            <c:size val="30"/>
            <c:spPr>
              <a:solidFill>
                <a:srgbClr val="E7E6E6">
                  <a:lumMod val="90000"/>
                </a:srgbClr>
              </a:solidFill>
              <a:ln w="6350">
                <a:solidFill>
                  <a:sysClr val="windowText" lastClr="000000"/>
                </a:solidFill>
              </a:ln>
              <a:effectLst/>
            </c:spPr>
          </c:marker>
          <c:xVal>
            <c:numRef>
              <c:f>'OldData_full+half_combiE'!$N$3:$N$5</c:f>
              <c:numCache>
                <c:formatCode>#,##0_);\(#,##0\)</c:formatCode>
                <c:ptCount val="3"/>
                <c:pt idx="0">
                  <c:v>14</c:v>
                </c:pt>
                <c:pt idx="1">
                  <c:v>14</c:v>
                </c:pt>
                <c:pt idx="2">
                  <c:v>14</c:v>
                </c:pt>
              </c:numCache>
            </c:numRef>
          </c:xVal>
          <c:yVal>
            <c:numRef>
              <c:f>'OldData_full+half_combiE'!$L$3:$L$5</c:f>
              <c:numCache>
                <c:formatCode>0.00</c:formatCode>
                <c:ptCount val="3"/>
                <c:pt idx="0">
                  <c:v>59</c:v>
                </c:pt>
                <c:pt idx="1">
                  <c:v>59</c:v>
                </c:pt>
                <c:pt idx="2">
                  <c:v>61</c:v>
                </c:pt>
              </c:numCache>
            </c:numRef>
          </c:yVal>
          <c:smooth val="0"/>
          <c:extLst xmlns:c15="http://schemas.microsoft.com/office/drawing/2012/chart">
            <c:ext xmlns:c16="http://schemas.microsoft.com/office/drawing/2014/chart" uri="{C3380CC4-5D6E-409C-BE32-E72D297353CC}">
              <c16:uniqueId val="{00000002-4548-4785-ABE0-B1B8C9C9C751}"/>
            </c:ext>
          </c:extLst>
        </c:ser>
        <c:ser>
          <c:idx val="4"/>
          <c:order val="3"/>
          <c:tx>
            <c:v>BKI</c:v>
          </c:tx>
          <c:spPr>
            <a:ln w="19050" cap="rnd">
              <a:noFill/>
              <a:round/>
            </a:ln>
            <a:effectLst/>
          </c:spPr>
          <c:marker>
            <c:symbol val="circle"/>
            <c:size val="40"/>
            <c:spPr>
              <a:solidFill>
                <a:srgbClr val="2276E6"/>
              </a:solidFill>
              <a:ln w="6350">
                <a:solidFill>
                  <a:sysClr val="windowText" lastClr="000000"/>
                </a:solidFill>
              </a:ln>
              <a:effectLst/>
            </c:spPr>
          </c:marker>
          <c:xVal>
            <c:numRef>
              <c:f>'OldData_full+half_combiE'!$N$9:$N$13</c:f>
              <c:numCache>
                <c:formatCode>#,##0_);\(#,##0\)</c:formatCode>
                <c:ptCount val="5"/>
                <c:pt idx="0">
                  <c:v>20</c:v>
                </c:pt>
                <c:pt idx="1">
                  <c:v>12</c:v>
                </c:pt>
                <c:pt idx="2">
                  <c:v>10</c:v>
                </c:pt>
                <c:pt idx="3">
                  <c:v>20</c:v>
                </c:pt>
                <c:pt idx="4">
                  <c:v>6</c:v>
                </c:pt>
              </c:numCache>
            </c:numRef>
          </c:xVal>
          <c:yVal>
            <c:numRef>
              <c:f>'OldData_full+half_combiE'!$L$9:$L$13</c:f>
              <c:numCache>
                <c:formatCode>0.00</c:formatCode>
                <c:ptCount val="5"/>
                <c:pt idx="0">
                  <c:v>68</c:v>
                </c:pt>
                <c:pt idx="1">
                  <c:v>66</c:v>
                </c:pt>
                <c:pt idx="2">
                  <c:v>70</c:v>
                </c:pt>
                <c:pt idx="3">
                  <c:v>68</c:v>
                </c:pt>
                <c:pt idx="4">
                  <c:v>51</c:v>
                </c:pt>
              </c:numCache>
            </c:numRef>
          </c:yVal>
          <c:smooth val="0"/>
          <c:extLst xmlns:c15="http://schemas.microsoft.com/office/drawing/2012/chart">
            <c:ext xmlns:c16="http://schemas.microsoft.com/office/drawing/2014/chart" uri="{C3380CC4-5D6E-409C-BE32-E72D297353CC}">
              <c16:uniqueId val="{00000003-4548-4785-ABE0-B1B8C9C9C751}"/>
            </c:ext>
          </c:extLst>
        </c:ser>
        <c:ser>
          <c:idx val="3"/>
          <c:order val="4"/>
          <c:tx>
            <c:v>Angelo Po</c:v>
          </c:tx>
          <c:spPr>
            <a:ln w="19050" cap="rnd">
              <a:noFill/>
              <a:round/>
            </a:ln>
            <a:effectLst/>
          </c:spPr>
          <c:marker>
            <c:symbol val="triangle"/>
            <c:size val="32"/>
            <c:spPr>
              <a:solidFill>
                <a:srgbClr val="E7E6E6">
                  <a:lumMod val="90000"/>
                </a:srgbClr>
              </a:solidFill>
              <a:ln w="6350">
                <a:solidFill>
                  <a:sysClr val="windowText" lastClr="000000"/>
                </a:solidFill>
              </a:ln>
              <a:effectLst/>
            </c:spPr>
          </c:marker>
          <c:xVal>
            <c:numRef>
              <c:f>'OldData_full+half_combiE'!$N$6:$N$8</c:f>
              <c:numCache>
                <c:formatCode>#,##0_);\(#,##0\)</c:formatCode>
                <c:ptCount val="3"/>
                <c:pt idx="0">
                  <c:v>16</c:v>
                </c:pt>
                <c:pt idx="1">
                  <c:v>24</c:v>
                </c:pt>
                <c:pt idx="2">
                  <c:v>40</c:v>
                </c:pt>
              </c:numCache>
            </c:numRef>
          </c:xVal>
          <c:yVal>
            <c:numRef>
              <c:f>'OldData_full+half_combiE'!$L$6:$L$8</c:f>
              <c:numCache>
                <c:formatCode>0.00</c:formatCode>
                <c:ptCount val="3"/>
                <c:pt idx="0">
                  <c:v>66</c:v>
                </c:pt>
                <c:pt idx="1">
                  <c:v>68.400000000000006</c:v>
                </c:pt>
                <c:pt idx="2">
                  <c:v>67</c:v>
                </c:pt>
              </c:numCache>
            </c:numRef>
          </c:yVal>
          <c:smooth val="0"/>
          <c:extLst xmlns:c15="http://schemas.microsoft.com/office/drawing/2012/chart">
            <c:ext xmlns:c16="http://schemas.microsoft.com/office/drawing/2014/chart" uri="{C3380CC4-5D6E-409C-BE32-E72D297353CC}">
              <c16:uniqueId val="{00000004-4548-4785-ABE0-B1B8C9C9C751}"/>
            </c:ext>
          </c:extLst>
        </c:ser>
        <c:ser>
          <c:idx val="0"/>
          <c:order val="5"/>
          <c:tx>
            <c:v>AccuTemp</c:v>
          </c:tx>
          <c:spPr>
            <a:ln w="19050" cap="rnd">
              <a:noFill/>
              <a:round/>
            </a:ln>
            <a:effectLst/>
          </c:spPr>
          <c:marker>
            <c:symbol val="diamond"/>
            <c:size val="34"/>
            <c:spPr>
              <a:solidFill>
                <a:srgbClr val="E7E6E6">
                  <a:lumMod val="90000"/>
                </a:srgbClr>
              </a:solidFill>
              <a:ln w="6350">
                <a:solidFill>
                  <a:sysClr val="windowText" lastClr="000000"/>
                </a:solidFill>
              </a:ln>
              <a:effectLst/>
            </c:spPr>
          </c:marker>
          <c:xVal>
            <c:numRef>
              <c:f>'OldData_full+half_combiE'!$N$2</c:f>
              <c:numCache>
                <c:formatCode>#,##0_);\(#,##0\)</c:formatCode>
                <c:ptCount val="1"/>
                <c:pt idx="0">
                  <c:v>12</c:v>
                </c:pt>
              </c:numCache>
            </c:numRef>
          </c:xVal>
          <c:yVal>
            <c:numRef>
              <c:f>'OldData_full+half_combiE'!$L$2</c:f>
              <c:numCache>
                <c:formatCode>0.00</c:formatCode>
                <c:ptCount val="1"/>
                <c:pt idx="0">
                  <c:v>68</c:v>
                </c:pt>
              </c:numCache>
            </c:numRef>
          </c:yVal>
          <c:smooth val="0"/>
          <c:extLst xmlns:c15="http://schemas.microsoft.com/office/drawing/2012/chart">
            <c:ext xmlns:c16="http://schemas.microsoft.com/office/drawing/2014/chart" uri="{C3380CC4-5D6E-409C-BE32-E72D297353CC}">
              <c16:uniqueId val="{00000005-4548-4785-ABE0-B1B8C9C9C751}"/>
            </c:ext>
          </c:extLst>
        </c:ser>
        <c:ser>
          <c:idx val="6"/>
          <c:order val="6"/>
          <c:tx>
            <c:v>Blodgett</c:v>
          </c:tx>
          <c:spPr>
            <a:ln w="19050" cap="rnd">
              <a:noFill/>
              <a:round/>
            </a:ln>
            <a:effectLst/>
          </c:spPr>
          <c:marker>
            <c:symbol val="diamond"/>
            <c:size val="40"/>
            <c:spPr>
              <a:pattFill prst="wdDnDiag">
                <a:fgClr>
                  <a:srgbClr val="2276E6"/>
                </a:fgClr>
                <a:bgClr>
                  <a:sysClr val="window" lastClr="FFFFFF"/>
                </a:bgClr>
              </a:pattFill>
              <a:ln w="6350">
                <a:solidFill>
                  <a:sysClr val="windowText" lastClr="000000"/>
                </a:solidFill>
              </a:ln>
              <a:effectLst/>
            </c:spPr>
          </c:marker>
          <c:xVal>
            <c:numRef>
              <c:f>'OldData_full+half_combiE'!$N$14:$N$21</c:f>
              <c:numCache>
                <c:formatCode>#,##0_);\(#,##0\)</c:formatCode>
                <c:ptCount val="8"/>
                <c:pt idx="0">
                  <c:v>6</c:v>
                </c:pt>
                <c:pt idx="1">
                  <c:v>4</c:v>
                </c:pt>
                <c:pt idx="2">
                  <c:v>4</c:v>
                </c:pt>
                <c:pt idx="3">
                  <c:v>5</c:v>
                </c:pt>
                <c:pt idx="4" formatCode="0">
                  <c:v>16</c:v>
                </c:pt>
                <c:pt idx="5">
                  <c:v>14</c:v>
                </c:pt>
                <c:pt idx="6">
                  <c:v>14</c:v>
                </c:pt>
                <c:pt idx="7">
                  <c:v>8</c:v>
                </c:pt>
              </c:numCache>
            </c:numRef>
          </c:xVal>
          <c:yVal>
            <c:numRef>
              <c:f>'OldData_full+half_combiE'!$L$14:$L$21</c:f>
              <c:numCache>
                <c:formatCode>0.00</c:formatCode>
                <c:ptCount val="8"/>
                <c:pt idx="0">
                  <c:v>66</c:v>
                </c:pt>
                <c:pt idx="1">
                  <c:v>60.8</c:v>
                </c:pt>
                <c:pt idx="2">
                  <c:v>34</c:v>
                </c:pt>
                <c:pt idx="3">
                  <c:v>31</c:v>
                </c:pt>
                <c:pt idx="4">
                  <c:v>#N/A</c:v>
                </c:pt>
                <c:pt idx="5">
                  <c:v>42.7</c:v>
                </c:pt>
                <c:pt idx="6">
                  <c:v>60.1</c:v>
                </c:pt>
                <c:pt idx="7">
                  <c:v>43</c:v>
                </c:pt>
              </c:numCache>
            </c:numRef>
          </c:yVal>
          <c:smooth val="0"/>
          <c:extLst xmlns:c15="http://schemas.microsoft.com/office/drawing/2012/chart">
            <c:ext xmlns:c16="http://schemas.microsoft.com/office/drawing/2014/chart" uri="{C3380CC4-5D6E-409C-BE32-E72D297353CC}">
              <c16:uniqueId val="{00000006-4548-4785-ABE0-B1B8C9C9C751}"/>
            </c:ext>
          </c:extLst>
        </c:ser>
        <c:ser>
          <c:idx val="7"/>
          <c:order val="7"/>
          <c:tx>
            <c:v>Convotherm</c:v>
          </c:tx>
          <c:spPr>
            <a:ln w="19050" cap="rnd">
              <a:noFill/>
              <a:round/>
            </a:ln>
            <a:effectLst/>
          </c:spPr>
          <c:marker>
            <c:symbol val="square"/>
            <c:size val="20"/>
            <c:spPr>
              <a:pattFill prst="pct50">
                <a:fgClr>
                  <a:srgbClr val="2276E6"/>
                </a:fgClr>
                <a:bgClr>
                  <a:sysClr val="window" lastClr="FFFFFF"/>
                </a:bgClr>
              </a:pattFill>
              <a:ln w="15875">
                <a:solidFill>
                  <a:sysClr val="windowText" lastClr="000000"/>
                </a:solidFill>
              </a:ln>
              <a:effectLst/>
            </c:spPr>
          </c:marker>
          <c:xVal>
            <c:numRef>
              <c:f>'OldData_full+half_combiE'!$N$22:$N$33</c:f>
              <c:numCache>
                <c:formatCode>#,##0_);\(#,##0\)</c:formatCode>
                <c:ptCount val="12"/>
                <c:pt idx="0">
                  <c:v>14</c:v>
                </c:pt>
                <c:pt idx="1">
                  <c:v>14</c:v>
                </c:pt>
                <c:pt idx="2">
                  <c:v>10</c:v>
                </c:pt>
                <c:pt idx="3">
                  <c:v>20</c:v>
                </c:pt>
                <c:pt idx="4">
                  <c:v>20</c:v>
                </c:pt>
                <c:pt idx="5">
                  <c:v>22</c:v>
                </c:pt>
                <c:pt idx="6">
                  <c:v>22</c:v>
                </c:pt>
                <c:pt idx="7">
                  <c:v>20</c:v>
                </c:pt>
                <c:pt idx="8">
                  <c:v>14</c:v>
                </c:pt>
                <c:pt idx="9">
                  <c:v>5</c:v>
                </c:pt>
                <c:pt idx="10">
                  <c:v>3</c:v>
                </c:pt>
                <c:pt idx="11">
                  <c:v>4</c:v>
                </c:pt>
              </c:numCache>
            </c:numRef>
          </c:xVal>
          <c:yVal>
            <c:numRef>
              <c:f>'OldData_full+half_combiE'!$L$22:$L$33</c:f>
              <c:numCache>
                <c:formatCode>0.00</c:formatCode>
                <c:ptCount val="12"/>
                <c:pt idx="0">
                  <c:v>61</c:v>
                </c:pt>
                <c:pt idx="1">
                  <c:v>70</c:v>
                </c:pt>
                <c:pt idx="2">
                  <c:v>72</c:v>
                </c:pt>
                <c:pt idx="3">
                  <c:v>65</c:v>
                </c:pt>
                <c:pt idx="4">
                  <c:v>76</c:v>
                </c:pt>
                <c:pt idx="5">
                  <c:v>64</c:v>
                </c:pt>
                <c:pt idx="6">
                  <c:v>76</c:v>
                </c:pt>
                <c:pt idx="7">
                  <c:v>64</c:v>
                </c:pt>
                <c:pt idx="8">
                  <c:v>59</c:v>
                </c:pt>
                <c:pt idx="9">
                  <c:v>65</c:v>
                </c:pt>
                <c:pt idx="10">
                  <c:v>57.9</c:v>
                </c:pt>
                <c:pt idx="11">
                  <c:v>69.099999999999994</c:v>
                </c:pt>
              </c:numCache>
            </c:numRef>
          </c:yVal>
          <c:smooth val="0"/>
          <c:extLst xmlns:c15="http://schemas.microsoft.com/office/drawing/2012/chart">
            <c:ext xmlns:c16="http://schemas.microsoft.com/office/drawing/2014/chart" uri="{C3380CC4-5D6E-409C-BE32-E72D297353CC}">
              <c16:uniqueId val="{00000007-4548-4785-ABE0-B1B8C9C9C751}"/>
            </c:ext>
          </c:extLst>
        </c:ser>
        <c:ser>
          <c:idx val="10"/>
          <c:order val="8"/>
          <c:tx>
            <c:v>Henny Penny</c:v>
          </c:tx>
          <c:spPr>
            <a:ln w="19050" cap="rnd">
              <a:noFill/>
              <a:round/>
            </a:ln>
            <a:effectLst/>
          </c:spPr>
          <c:marker>
            <c:symbol val="diamond"/>
            <c:size val="36"/>
            <c:spPr>
              <a:pattFill prst="wdDnDiag">
                <a:fgClr>
                  <a:srgbClr val="00B050"/>
                </a:fgClr>
                <a:bgClr>
                  <a:sysClr val="window" lastClr="FFFFFF"/>
                </a:bgClr>
              </a:pattFill>
              <a:ln w="6350">
                <a:solidFill>
                  <a:sysClr val="windowText" lastClr="000000"/>
                </a:solidFill>
              </a:ln>
              <a:effectLst/>
            </c:spPr>
          </c:marker>
          <c:xVal>
            <c:numRef>
              <c:f>'OldData_full+half_combiE'!$N$46:$N$54</c:f>
              <c:numCache>
                <c:formatCode>#,##0_);\(#,##0\)</c:formatCode>
                <c:ptCount val="9"/>
                <c:pt idx="0">
                  <c:v>10</c:v>
                </c:pt>
                <c:pt idx="1">
                  <c:v>10</c:v>
                </c:pt>
                <c:pt idx="2">
                  <c:v>20</c:v>
                </c:pt>
                <c:pt idx="3">
                  <c:v>20</c:v>
                </c:pt>
                <c:pt idx="4">
                  <c:v>6</c:v>
                </c:pt>
                <c:pt idx="5">
                  <c:v>6</c:v>
                </c:pt>
                <c:pt idx="6">
                  <c:v>6</c:v>
                </c:pt>
                <c:pt idx="7">
                  <c:v>12</c:v>
                </c:pt>
                <c:pt idx="8">
                  <c:v>6</c:v>
                </c:pt>
              </c:numCache>
            </c:numRef>
          </c:xVal>
          <c:yVal>
            <c:numRef>
              <c:f>'OldData_full+half_combiE'!$L$46:$L$54</c:f>
              <c:numCache>
                <c:formatCode>0.00</c:formatCode>
                <c:ptCount val="9"/>
                <c:pt idx="0">
                  <c:v>56</c:v>
                </c:pt>
                <c:pt idx="1">
                  <c:v>58</c:v>
                </c:pt>
                <c:pt idx="2">
                  <c:v>68</c:v>
                </c:pt>
                <c:pt idx="3">
                  <c:v>60</c:v>
                </c:pt>
                <c:pt idx="4">
                  <c:v>62</c:v>
                </c:pt>
                <c:pt idx="5">
                  <c:v>58</c:v>
                </c:pt>
                <c:pt idx="6">
                  <c:v>53</c:v>
                </c:pt>
                <c:pt idx="7">
                  <c:v>59</c:v>
                </c:pt>
                <c:pt idx="8">
                  <c:v>63</c:v>
                </c:pt>
              </c:numCache>
            </c:numRef>
          </c:yVal>
          <c:smooth val="0"/>
          <c:extLst xmlns:c15="http://schemas.microsoft.com/office/drawing/2012/chart">
            <c:ext xmlns:c16="http://schemas.microsoft.com/office/drawing/2014/chart" uri="{C3380CC4-5D6E-409C-BE32-E72D297353CC}">
              <c16:uniqueId val="{00000008-4548-4785-ABE0-B1B8C9C9C751}"/>
            </c:ext>
          </c:extLst>
        </c:ser>
        <c:ser>
          <c:idx val="8"/>
          <c:order val="9"/>
          <c:tx>
            <c:v>Electrolux</c:v>
          </c:tx>
          <c:spPr>
            <a:ln w="19050" cap="rnd">
              <a:noFill/>
              <a:round/>
            </a:ln>
            <a:effectLst/>
          </c:spPr>
          <c:marker>
            <c:symbol val="triangle"/>
            <c:size val="28"/>
            <c:spPr>
              <a:solidFill>
                <a:srgbClr val="2276E6"/>
              </a:solidFill>
              <a:ln w="6350">
                <a:solidFill>
                  <a:sysClr val="windowText" lastClr="000000"/>
                </a:solidFill>
              </a:ln>
              <a:effectLst/>
            </c:spPr>
          </c:marker>
          <c:xVal>
            <c:numRef>
              <c:f>'OldData_full+half_combiE'!$N$34:$N$37</c:f>
              <c:numCache>
                <c:formatCode>#,##0_);\(#,##0\)</c:formatCode>
                <c:ptCount val="4"/>
                <c:pt idx="0">
                  <c:v>10</c:v>
                </c:pt>
                <c:pt idx="1">
                  <c:v>10</c:v>
                </c:pt>
                <c:pt idx="2">
                  <c:v>6</c:v>
                </c:pt>
                <c:pt idx="3">
                  <c:v>6</c:v>
                </c:pt>
              </c:numCache>
            </c:numRef>
          </c:xVal>
          <c:yVal>
            <c:numRef>
              <c:f>'OldData_full+half_combiE'!$L$34:$L$37</c:f>
              <c:numCache>
                <c:formatCode>0.00</c:formatCode>
                <c:ptCount val="4"/>
                <c:pt idx="0">
                  <c:v>58</c:v>
                </c:pt>
                <c:pt idx="1">
                  <c:v>63</c:v>
                </c:pt>
                <c:pt idx="2">
                  <c:v>56</c:v>
                </c:pt>
                <c:pt idx="3">
                  <c:v>61</c:v>
                </c:pt>
              </c:numCache>
            </c:numRef>
          </c:yVal>
          <c:smooth val="0"/>
          <c:extLst xmlns:c15="http://schemas.microsoft.com/office/drawing/2012/chart">
            <c:ext xmlns:c16="http://schemas.microsoft.com/office/drawing/2014/chart" uri="{C3380CC4-5D6E-409C-BE32-E72D297353CC}">
              <c16:uniqueId val="{00000009-4548-4785-ABE0-B1B8C9C9C751}"/>
            </c:ext>
          </c:extLst>
        </c:ser>
        <c:ser>
          <c:idx val="9"/>
          <c:order val="10"/>
          <c:tx>
            <c:v>Eloma</c:v>
          </c:tx>
          <c:spPr>
            <a:ln w="19050" cap="rnd">
              <a:noFill/>
              <a:round/>
            </a:ln>
            <a:effectLst/>
          </c:spPr>
          <c:marker>
            <c:symbol val="circle"/>
            <c:size val="20"/>
            <c:spPr>
              <a:solidFill>
                <a:srgbClr val="00B050"/>
              </a:solidFill>
              <a:ln w="9525">
                <a:solidFill>
                  <a:sysClr val="windowText" lastClr="000000"/>
                </a:solidFill>
              </a:ln>
              <a:effectLst/>
            </c:spPr>
          </c:marker>
          <c:xVal>
            <c:numRef>
              <c:f>'OldData_full+half_combiE'!$N$38:$N$40</c:f>
              <c:numCache>
                <c:formatCode>#,##0_);\(#,##0\)</c:formatCode>
                <c:ptCount val="3"/>
                <c:pt idx="0">
                  <c:v>24</c:v>
                </c:pt>
                <c:pt idx="1">
                  <c:v>5</c:v>
                </c:pt>
                <c:pt idx="2">
                  <c:v>40</c:v>
                </c:pt>
              </c:numCache>
            </c:numRef>
          </c:xVal>
          <c:yVal>
            <c:numRef>
              <c:f>'OldData_full+half_combiE'!$L$38:$L$40</c:f>
              <c:numCache>
                <c:formatCode>0.00</c:formatCode>
                <c:ptCount val="3"/>
                <c:pt idx="0">
                  <c:v>67</c:v>
                </c:pt>
                <c:pt idx="1">
                  <c:v>50.62</c:v>
                </c:pt>
                <c:pt idx="2">
                  <c:v>61</c:v>
                </c:pt>
              </c:numCache>
            </c:numRef>
          </c:yVal>
          <c:smooth val="0"/>
          <c:extLst xmlns:c15="http://schemas.microsoft.com/office/drawing/2012/chart">
            <c:ext xmlns:c16="http://schemas.microsoft.com/office/drawing/2014/chart" uri="{C3380CC4-5D6E-409C-BE32-E72D297353CC}">
              <c16:uniqueId val="{0000000A-4548-4785-ABE0-B1B8C9C9C751}"/>
            </c:ext>
          </c:extLst>
        </c:ser>
        <c:ser>
          <c:idx val="11"/>
          <c:order val="11"/>
          <c:tx>
            <c:v>Hobart</c:v>
          </c:tx>
          <c:spPr>
            <a:ln w="19050" cap="rnd">
              <a:noFill/>
              <a:round/>
            </a:ln>
            <a:effectLst/>
          </c:spPr>
          <c:marker>
            <c:symbol val="square"/>
            <c:size val="25"/>
            <c:spPr>
              <a:solidFill>
                <a:srgbClr val="00B050"/>
              </a:solidFill>
              <a:ln w="6350">
                <a:solidFill>
                  <a:sysClr val="windowText" lastClr="000000"/>
                </a:solidFill>
              </a:ln>
              <a:effectLst/>
            </c:spPr>
          </c:marker>
          <c:xVal>
            <c:numRef>
              <c:f>'OldData_full+half_combiE'!$N$55:$N$56</c:f>
              <c:numCache>
                <c:formatCode>#,##0_);\(#,##0\)</c:formatCode>
                <c:ptCount val="2"/>
                <c:pt idx="0">
                  <c:v>38</c:v>
                </c:pt>
                <c:pt idx="1">
                  <c:v>20</c:v>
                </c:pt>
              </c:numCache>
            </c:numRef>
          </c:xVal>
          <c:yVal>
            <c:numRef>
              <c:f>'OldData_full+half_combiE'!$L$55:$L$56</c:f>
              <c:numCache>
                <c:formatCode>0.00</c:formatCode>
                <c:ptCount val="2"/>
                <c:pt idx="0">
                  <c:v>57</c:v>
                </c:pt>
                <c:pt idx="1">
                  <c:v>66</c:v>
                </c:pt>
              </c:numCache>
            </c:numRef>
          </c:yVal>
          <c:smooth val="0"/>
          <c:extLst xmlns:c15="http://schemas.microsoft.com/office/drawing/2012/chart">
            <c:ext xmlns:c16="http://schemas.microsoft.com/office/drawing/2014/chart" uri="{C3380CC4-5D6E-409C-BE32-E72D297353CC}">
              <c16:uniqueId val="{0000000B-4548-4785-ABE0-B1B8C9C9C751}"/>
            </c:ext>
          </c:extLst>
        </c:ser>
        <c:ser>
          <c:idx val="12"/>
          <c:order val="12"/>
          <c:tx>
            <c:v>Lainox</c:v>
          </c:tx>
          <c:spPr>
            <a:ln w="19050" cap="rnd">
              <a:noFill/>
              <a:round/>
            </a:ln>
            <a:effectLst/>
          </c:spPr>
          <c:marker>
            <c:symbol val="triangle"/>
            <c:size val="26"/>
            <c:spPr>
              <a:solidFill>
                <a:srgbClr val="00B050"/>
              </a:solidFill>
              <a:ln w="9525">
                <a:solidFill>
                  <a:sysClr val="windowText" lastClr="000000"/>
                </a:solidFill>
              </a:ln>
              <a:effectLst/>
            </c:spPr>
          </c:marker>
          <c:xVal>
            <c:numRef>
              <c:f>'OldData_full+half_combiE'!$N$57:$N$66</c:f>
              <c:numCache>
                <c:formatCode>#,##0_);\(#,##0\)</c:formatCode>
                <c:ptCount val="10"/>
                <c:pt idx="0">
                  <c:v>7</c:v>
                </c:pt>
                <c:pt idx="1">
                  <c:v>14</c:v>
                </c:pt>
                <c:pt idx="2">
                  <c:v>10</c:v>
                </c:pt>
                <c:pt idx="3">
                  <c:v>20</c:v>
                </c:pt>
                <c:pt idx="4">
                  <c:v>20</c:v>
                </c:pt>
                <c:pt idx="5">
                  <c:v>7</c:v>
                </c:pt>
                <c:pt idx="6">
                  <c:v>14</c:v>
                </c:pt>
                <c:pt idx="7">
                  <c:v>10</c:v>
                </c:pt>
                <c:pt idx="8">
                  <c:v>20</c:v>
                </c:pt>
                <c:pt idx="9">
                  <c:v>20</c:v>
                </c:pt>
              </c:numCache>
            </c:numRef>
          </c:xVal>
          <c:yVal>
            <c:numRef>
              <c:f>'OldData_full+half_combiE'!$L$57:$L$66</c:f>
              <c:numCache>
                <c:formatCode>0.00</c:formatCode>
                <c:ptCount val="10"/>
                <c:pt idx="0">
                  <c:v>63</c:v>
                </c:pt>
                <c:pt idx="1">
                  <c:v>67</c:v>
                </c:pt>
                <c:pt idx="2">
                  <c:v>63</c:v>
                </c:pt>
                <c:pt idx="3">
                  <c:v>65</c:v>
                </c:pt>
                <c:pt idx="4">
                  <c:v>61</c:v>
                </c:pt>
                <c:pt idx="5">
                  <c:v>66</c:v>
                </c:pt>
                <c:pt idx="6">
                  <c:v>70</c:v>
                </c:pt>
                <c:pt idx="7">
                  <c:v>66</c:v>
                </c:pt>
                <c:pt idx="8">
                  <c:v>72</c:v>
                </c:pt>
                <c:pt idx="9">
                  <c:v>62</c:v>
                </c:pt>
              </c:numCache>
            </c:numRef>
          </c:yVal>
          <c:smooth val="0"/>
          <c:extLst xmlns:c15="http://schemas.microsoft.com/office/drawing/2012/chart">
            <c:ext xmlns:c16="http://schemas.microsoft.com/office/drawing/2014/chart" uri="{C3380CC4-5D6E-409C-BE32-E72D297353CC}">
              <c16:uniqueId val="{0000000C-4548-4785-ABE0-B1B8C9C9C751}"/>
            </c:ext>
          </c:extLst>
        </c:ser>
        <c:ser>
          <c:idx val="13"/>
          <c:order val="13"/>
          <c:tx>
            <c:v>Moffat</c:v>
          </c:tx>
          <c:spPr>
            <a:ln w="19050" cap="rnd">
              <a:noFill/>
              <a:round/>
            </a:ln>
            <a:effectLst/>
          </c:spPr>
          <c:marker>
            <c:symbol val="circle"/>
            <c:size val="16"/>
            <c:spPr>
              <a:solidFill>
                <a:srgbClr val="FF0000"/>
              </a:solidFill>
              <a:ln w="9525">
                <a:solidFill>
                  <a:sysClr val="windowText" lastClr="000000"/>
                </a:solidFill>
              </a:ln>
              <a:effectLst/>
            </c:spPr>
          </c:marker>
          <c:xVal>
            <c:numRef>
              <c:f>'OldData_full+half_combiE'!$N$67</c:f>
              <c:numCache>
                <c:formatCode>#,##0_);\(#,##0\)</c:formatCode>
                <c:ptCount val="1"/>
                <c:pt idx="0">
                  <c:v>5</c:v>
                </c:pt>
              </c:numCache>
            </c:numRef>
          </c:xVal>
          <c:yVal>
            <c:numRef>
              <c:f>'OldData_full+half_combiE'!$L$67</c:f>
              <c:numCache>
                <c:formatCode>0.00</c:formatCode>
                <c:ptCount val="1"/>
                <c:pt idx="0">
                  <c:v>60</c:v>
                </c:pt>
              </c:numCache>
            </c:numRef>
          </c:yVal>
          <c:smooth val="0"/>
          <c:extLst xmlns:c15="http://schemas.microsoft.com/office/drawing/2012/chart">
            <c:ext xmlns:c16="http://schemas.microsoft.com/office/drawing/2014/chart" uri="{C3380CC4-5D6E-409C-BE32-E72D297353CC}">
              <c16:uniqueId val="{0000000D-4548-4785-ABE0-B1B8C9C9C751}"/>
            </c:ext>
          </c:extLst>
        </c:ser>
        <c:ser>
          <c:idx val="14"/>
          <c:order val="14"/>
          <c:tx>
            <c:v>Piper</c:v>
          </c:tx>
          <c:spPr>
            <a:ln w="19050" cap="rnd">
              <a:noFill/>
              <a:round/>
            </a:ln>
            <a:effectLst/>
          </c:spPr>
          <c:marker>
            <c:symbol val="diamond"/>
            <c:size val="24"/>
            <c:spPr>
              <a:pattFill prst="wdDnDiag">
                <a:fgClr>
                  <a:srgbClr val="FF0000"/>
                </a:fgClr>
                <a:bgClr>
                  <a:sysClr val="window" lastClr="FFFFFF"/>
                </a:bgClr>
              </a:pattFill>
              <a:ln w="9525">
                <a:solidFill>
                  <a:sysClr val="windowText" lastClr="000000"/>
                </a:solidFill>
              </a:ln>
              <a:effectLst/>
            </c:spPr>
          </c:marker>
          <c:xVal>
            <c:numRef>
              <c:f>'OldData_full+half_combiE'!$N$69</c:f>
              <c:numCache>
                <c:formatCode>#,##0_);\(#,##0\)</c:formatCode>
                <c:ptCount val="1"/>
                <c:pt idx="0">
                  <c:v>6</c:v>
                </c:pt>
              </c:numCache>
            </c:numRef>
          </c:xVal>
          <c:yVal>
            <c:numRef>
              <c:f>'OldData_full+half_combiE'!$L$69</c:f>
              <c:numCache>
                <c:formatCode>0.00</c:formatCode>
                <c:ptCount val="1"/>
                <c:pt idx="0">
                  <c:v>58</c:v>
                </c:pt>
              </c:numCache>
            </c:numRef>
          </c:yVal>
          <c:smooth val="0"/>
          <c:extLst xmlns:c15="http://schemas.microsoft.com/office/drawing/2012/chart">
            <c:ext xmlns:c16="http://schemas.microsoft.com/office/drawing/2014/chart" uri="{C3380CC4-5D6E-409C-BE32-E72D297353CC}">
              <c16:uniqueId val="{0000000E-4548-4785-ABE0-B1B8C9C9C751}"/>
            </c:ext>
          </c:extLst>
        </c:ser>
        <c:ser>
          <c:idx val="16"/>
          <c:order val="15"/>
          <c:tx>
            <c:v>Retigo s.r.o</c:v>
          </c:tx>
          <c:spPr>
            <a:ln w="19050" cap="rnd">
              <a:noFill/>
              <a:round/>
            </a:ln>
            <a:effectLst/>
          </c:spPr>
          <c:marker>
            <c:symbol val="triangle"/>
            <c:size val="22"/>
            <c:spPr>
              <a:pattFill prst="pct75">
                <a:fgClr>
                  <a:srgbClr val="FF0000"/>
                </a:fgClr>
                <a:bgClr>
                  <a:sysClr val="window" lastClr="FFFFFF"/>
                </a:bgClr>
              </a:pattFill>
              <a:ln w="9525">
                <a:solidFill>
                  <a:sysClr val="windowText" lastClr="000000"/>
                </a:solidFill>
              </a:ln>
              <a:effectLst/>
            </c:spPr>
          </c:marker>
          <c:xVal>
            <c:numRef>
              <c:f>'OldData_full+half_combiE'!$N$96</c:f>
              <c:numCache>
                <c:formatCode>#,##0_);\(#,##0\)</c:formatCode>
                <c:ptCount val="1"/>
                <c:pt idx="0">
                  <c:v>10</c:v>
                </c:pt>
              </c:numCache>
            </c:numRef>
          </c:xVal>
          <c:yVal>
            <c:numRef>
              <c:f>'OldData_full+half_combiE'!$L$96</c:f>
              <c:numCache>
                <c:formatCode>0.00</c:formatCode>
                <c:ptCount val="1"/>
                <c:pt idx="0">
                  <c:v>68</c:v>
                </c:pt>
              </c:numCache>
            </c:numRef>
          </c:yVal>
          <c:smooth val="0"/>
          <c:extLst xmlns:c15="http://schemas.microsoft.com/office/drawing/2012/chart">
            <c:ext xmlns:c16="http://schemas.microsoft.com/office/drawing/2014/chart" uri="{C3380CC4-5D6E-409C-BE32-E72D297353CC}">
              <c16:uniqueId val="{0000000F-4548-4785-ABE0-B1B8C9C9C751}"/>
            </c:ext>
          </c:extLst>
        </c:ser>
        <c:ser>
          <c:idx val="15"/>
          <c:order val="16"/>
          <c:tx>
            <c:v>Rational AG</c:v>
          </c:tx>
          <c:spPr>
            <a:ln w="19050" cap="rnd">
              <a:noFill/>
              <a:round/>
            </a:ln>
            <a:effectLst/>
          </c:spPr>
          <c:marker>
            <c:symbol val="square"/>
            <c:size val="10"/>
            <c:spPr>
              <a:solidFill>
                <a:srgbClr val="FF0000"/>
              </a:solidFill>
              <a:ln w="6350">
                <a:solidFill>
                  <a:sysClr val="windowText" lastClr="000000"/>
                </a:solidFill>
              </a:ln>
              <a:effectLst/>
            </c:spPr>
          </c:marker>
          <c:xVal>
            <c:numRef>
              <c:f>'OldData_full+half_combiE'!$N$71:$N$95</c:f>
              <c:numCache>
                <c:formatCode>#,##0_);\(#,##0\)</c:formatCode>
                <c:ptCount val="25"/>
                <c:pt idx="0">
                  <c:v>6</c:v>
                </c:pt>
                <c:pt idx="1">
                  <c:v>6</c:v>
                </c:pt>
                <c:pt idx="2">
                  <c:v>6</c:v>
                </c:pt>
                <c:pt idx="3">
                  <c:v>10</c:v>
                </c:pt>
                <c:pt idx="4">
                  <c:v>6</c:v>
                </c:pt>
                <c:pt idx="5">
                  <c:v>12</c:v>
                </c:pt>
                <c:pt idx="6">
                  <c:v>12</c:v>
                </c:pt>
                <c:pt idx="7">
                  <c:v>10</c:v>
                </c:pt>
                <c:pt idx="8">
                  <c:v>20</c:v>
                </c:pt>
                <c:pt idx="9">
                  <c:v>20</c:v>
                </c:pt>
                <c:pt idx="10">
                  <c:v>20</c:v>
                </c:pt>
                <c:pt idx="11">
                  <c:v>10</c:v>
                </c:pt>
                <c:pt idx="12">
                  <c:v>20</c:v>
                </c:pt>
                <c:pt idx="13">
                  <c:v>20</c:v>
                </c:pt>
                <c:pt idx="14">
                  <c:v>20</c:v>
                </c:pt>
                <c:pt idx="15">
                  <c:v>6</c:v>
                </c:pt>
                <c:pt idx="16">
                  <c:v>6</c:v>
                </c:pt>
                <c:pt idx="17">
                  <c:v>12</c:v>
                </c:pt>
                <c:pt idx="18">
                  <c:v>12</c:v>
                </c:pt>
                <c:pt idx="19">
                  <c:v>40</c:v>
                </c:pt>
                <c:pt idx="20">
                  <c:v>10</c:v>
                </c:pt>
                <c:pt idx="21">
                  <c:v>12</c:v>
                </c:pt>
                <c:pt idx="22">
                  <c:v>20</c:v>
                </c:pt>
                <c:pt idx="23">
                  <c:v>6</c:v>
                </c:pt>
                <c:pt idx="24">
                  <c:v>6</c:v>
                </c:pt>
              </c:numCache>
            </c:numRef>
          </c:xVal>
          <c:yVal>
            <c:numRef>
              <c:f>'OldData_full+half_combiE'!$L$71:$L$95</c:f>
              <c:numCache>
                <c:formatCode>0.00</c:formatCode>
                <c:ptCount val="25"/>
                <c:pt idx="0">
                  <c:v>55</c:v>
                </c:pt>
                <c:pt idx="1">
                  <c:v>58</c:v>
                </c:pt>
                <c:pt idx="2">
                  <c:v>58</c:v>
                </c:pt>
                <c:pt idx="3">
                  <c:v>60</c:v>
                </c:pt>
                <c:pt idx="4">
                  <c:v>56</c:v>
                </c:pt>
                <c:pt idx="5">
                  <c:v>59</c:v>
                </c:pt>
                <c:pt idx="6">
                  <c:v>57</c:v>
                </c:pt>
                <c:pt idx="7">
                  <c:v>60</c:v>
                </c:pt>
                <c:pt idx="8">
                  <c:v>55</c:v>
                </c:pt>
                <c:pt idx="9">
                  <c:v>64</c:v>
                </c:pt>
                <c:pt idx="10">
                  <c:v>59</c:v>
                </c:pt>
                <c:pt idx="11">
                  <c:v>58</c:v>
                </c:pt>
                <c:pt idx="12">
                  <c:v>61</c:v>
                </c:pt>
                <c:pt idx="13">
                  <c:v>61</c:v>
                </c:pt>
                <c:pt idx="14">
                  <c:v>55</c:v>
                </c:pt>
                <c:pt idx="15">
                  <c:v>57</c:v>
                </c:pt>
                <c:pt idx="16">
                  <c:v>58</c:v>
                </c:pt>
                <c:pt idx="17">
                  <c:v>63</c:v>
                </c:pt>
                <c:pt idx="18">
                  <c:v>76</c:v>
                </c:pt>
                <c:pt idx="19">
                  <c:v>66</c:v>
                </c:pt>
                <c:pt idx="20">
                  <c:v>60</c:v>
                </c:pt>
                <c:pt idx="21">
                  <c:v>63</c:v>
                </c:pt>
                <c:pt idx="22">
                  <c:v>61</c:v>
                </c:pt>
                <c:pt idx="23">
                  <c:v>58</c:v>
                </c:pt>
                <c:pt idx="24">
                  <c:v>57</c:v>
                </c:pt>
              </c:numCache>
            </c:numRef>
          </c:yVal>
          <c:smooth val="0"/>
          <c:extLst xmlns:c15="http://schemas.microsoft.com/office/drawing/2012/chart">
            <c:ext xmlns:c16="http://schemas.microsoft.com/office/drawing/2014/chart" uri="{C3380CC4-5D6E-409C-BE32-E72D297353CC}">
              <c16:uniqueId val="{00000010-4548-4785-ABE0-B1B8C9C9C751}"/>
            </c:ext>
          </c:extLst>
        </c:ser>
        <c:ser>
          <c:idx val="17"/>
          <c:order val="17"/>
          <c:tx>
            <c:v>UNOX</c:v>
          </c:tx>
          <c:spPr>
            <a:ln w="19050" cap="rnd">
              <a:noFill/>
              <a:round/>
            </a:ln>
            <a:effectLst/>
          </c:spPr>
          <c:marker>
            <c:symbol val="circle"/>
            <c:size val="8"/>
            <c:spPr>
              <a:solidFill>
                <a:srgbClr val="FFC000"/>
              </a:solidFill>
              <a:ln w="6350">
                <a:solidFill>
                  <a:sysClr val="windowText" lastClr="000000"/>
                </a:solidFill>
              </a:ln>
              <a:effectLst/>
            </c:spPr>
          </c:marker>
          <c:xVal>
            <c:numRef>
              <c:f>'OldData_full+half_combiE'!$N$97:$N$110</c:f>
              <c:numCache>
                <c:formatCode>#,##0_);\(#,##0\)</c:formatCode>
                <c:ptCount val="14"/>
                <c:pt idx="0">
                  <c:v>5</c:v>
                </c:pt>
                <c:pt idx="1">
                  <c:v>5</c:v>
                </c:pt>
                <c:pt idx="2">
                  <c:v>5</c:v>
                </c:pt>
                <c:pt idx="3">
                  <c:v>12</c:v>
                </c:pt>
                <c:pt idx="4">
                  <c:v>10</c:v>
                </c:pt>
                <c:pt idx="5">
                  <c:v>10</c:v>
                </c:pt>
                <c:pt idx="6">
                  <c:v>20</c:v>
                </c:pt>
                <c:pt idx="7">
                  <c:v>5</c:v>
                </c:pt>
                <c:pt idx="8">
                  <c:v>7</c:v>
                </c:pt>
                <c:pt idx="9">
                  <c:v>10</c:v>
                </c:pt>
                <c:pt idx="10">
                  <c:v>20</c:v>
                </c:pt>
                <c:pt idx="11">
                  <c:v>20</c:v>
                </c:pt>
                <c:pt idx="12">
                  <c:v>32</c:v>
                </c:pt>
                <c:pt idx="13">
                  <c:v>32</c:v>
                </c:pt>
              </c:numCache>
            </c:numRef>
          </c:xVal>
          <c:yVal>
            <c:numRef>
              <c:f>'OldData_full+half_combiE'!$L$97:$L$110</c:f>
              <c:numCache>
                <c:formatCode>0.00</c:formatCode>
                <c:ptCount val="14"/>
                <c:pt idx="0">
                  <c:v>67</c:v>
                </c:pt>
                <c:pt idx="1">
                  <c:v>63</c:v>
                </c:pt>
                <c:pt idx="2">
                  <c:v>65</c:v>
                </c:pt>
                <c:pt idx="3">
                  <c:v>65</c:v>
                </c:pt>
                <c:pt idx="4">
                  <c:v>63</c:v>
                </c:pt>
                <c:pt idx="5">
                  <c:v>68</c:v>
                </c:pt>
                <c:pt idx="6">
                  <c:v>63</c:v>
                </c:pt>
                <c:pt idx="7">
                  <c:v>65</c:v>
                </c:pt>
                <c:pt idx="8">
                  <c:v>67</c:v>
                </c:pt>
                <c:pt idx="9">
                  <c:v>71</c:v>
                </c:pt>
                <c:pt idx="10">
                  <c:v>56</c:v>
                </c:pt>
                <c:pt idx="11">
                  <c:v>56</c:v>
                </c:pt>
                <c:pt idx="12">
                  <c:v>71.599999999999994</c:v>
                </c:pt>
                <c:pt idx="13">
                  <c:v>72.010000000000005</c:v>
                </c:pt>
              </c:numCache>
            </c:numRef>
          </c:yVal>
          <c:smooth val="0"/>
          <c:extLst xmlns:c15="http://schemas.microsoft.com/office/drawing/2012/chart">
            <c:ext xmlns:c16="http://schemas.microsoft.com/office/drawing/2014/chart" uri="{C3380CC4-5D6E-409C-BE32-E72D297353CC}">
              <c16:uniqueId val="{00000011-4548-4785-ABE0-B1B8C9C9C751}"/>
            </c:ext>
          </c:extLst>
        </c:ser>
        <c:ser>
          <c:idx val="18"/>
          <c:order val="18"/>
          <c:tx>
            <c:v>Masked Data</c:v>
          </c:tx>
          <c:spPr>
            <a:ln w="19050" cap="rnd">
              <a:noFill/>
              <a:round/>
            </a:ln>
            <a:effectLst/>
          </c:spPr>
          <c:marker>
            <c:symbol val="circle"/>
            <c:size val="12"/>
            <c:spPr>
              <a:solidFill>
                <a:srgbClr val="E7E6E6">
                  <a:lumMod val="90000"/>
                </a:srgbClr>
              </a:solidFill>
              <a:ln w="9525">
                <a:solidFill>
                  <a:sysClr val="windowText" lastClr="000000"/>
                </a:solidFill>
              </a:ln>
              <a:effectLst/>
            </c:spPr>
          </c:marker>
          <c:xVal>
            <c:numRef>
              <c:f>'OldData_full+half_combiE'!$N$111:$N$125</c:f>
              <c:numCache>
                <c:formatCode>#,##0_);\(#,##0\)</c:formatCode>
                <c:ptCount val="15"/>
                <c:pt idx="0">
                  <c:v>20</c:v>
                </c:pt>
                <c:pt idx="1">
                  <c:v>20</c:v>
                </c:pt>
                <c:pt idx="2">
                  <c:v>20</c:v>
                </c:pt>
                <c:pt idx="3">
                  <c:v>14</c:v>
                </c:pt>
                <c:pt idx="4">
                  <c:v>14</c:v>
                </c:pt>
                <c:pt idx="5">
                  <c:v>14</c:v>
                </c:pt>
                <c:pt idx="6">
                  <c:v>11</c:v>
                </c:pt>
                <c:pt idx="7">
                  <c:v>9</c:v>
                </c:pt>
                <c:pt idx="8">
                  <c:v>6</c:v>
                </c:pt>
                <c:pt idx="9">
                  <c:v>6</c:v>
                </c:pt>
                <c:pt idx="10">
                  <c:v>5</c:v>
                </c:pt>
                <c:pt idx="11">
                  <c:v>5</c:v>
                </c:pt>
                <c:pt idx="12">
                  <c:v>5</c:v>
                </c:pt>
                <c:pt idx="13">
                  <c:v>4</c:v>
                </c:pt>
                <c:pt idx="14">
                  <c:v>3</c:v>
                </c:pt>
              </c:numCache>
            </c:numRef>
          </c:xVal>
          <c:yVal>
            <c:numRef>
              <c:f>'OldData_full+half_combiE'!$L$111:$L$125</c:f>
              <c:numCache>
                <c:formatCode>0.00</c:formatCode>
                <c:ptCount val="15"/>
                <c:pt idx="0">
                  <c:v>64</c:v>
                </c:pt>
                <c:pt idx="1">
                  <c:v>47</c:v>
                </c:pt>
                <c:pt idx="2">
                  <c:v>63</c:v>
                </c:pt>
                <c:pt idx="3">
                  <c:v>60</c:v>
                </c:pt>
                <c:pt idx="4">
                  <c:v>60</c:v>
                </c:pt>
                <c:pt idx="5">
                  <c:v>57.999999999999993</c:v>
                </c:pt>
                <c:pt idx="6">
                  <c:v>55.000000000000007</c:v>
                </c:pt>
                <c:pt idx="7">
                  <c:v>49</c:v>
                </c:pt>
                <c:pt idx="8">
                  <c:v>57.999999999999993</c:v>
                </c:pt>
                <c:pt idx="9">
                  <c:v>55.000000000000007</c:v>
                </c:pt>
                <c:pt idx="10">
                  <c:v>31</c:v>
                </c:pt>
                <c:pt idx="11">
                  <c:v>48</c:v>
                </c:pt>
                <c:pt idx="12">
                  <c:v>51</c:v>
                </c:pt>
                <c:pt idx="13">
                  <c:v>49</c:v>
                </c:pt>
                <c:pt idx="14">
                  <c:v>62</c:v>
                </c:pt>
              </c:numCache>
            </c:numRef>
          </c:yVal>
          <c:smooth val="0"/>
          <c:extLst xmlns:c15="http://schemas.microsoft.com/office/drawing/2012/chart">
            <c:ext xmlns:c16="http://schemas.microsoft.com/office/drawing/2014/chart" uri="{C3380CC4-5D6E-409C-BE32-E72D297353CC}">
              <c16:uniqueId val="{00000012-4548-4785-ABE0-B1B8C9C9C751}"/>
            </c:ext>
          </c:extLst>
        </c:ser>
        <c:ser>
          <c:idx val="19"/>
          <c:order val="19"/>
          <c:tx>
            <c:v>Pratica</c:v>
          </c:tx>
          <c:spPr>
            <a:ln w="19050" cap="rnd">
              <a:noFill/>
              <a:round/>
            </a:ln>
            <a:effectLst/>
          </c:spPr>
          <c:marker>
            <c:symbol val="circle"/>
            <c:size val="8"/>
            <c:spPr>
              <a:solidFill>
                <a:srgbClr val="ED7D31"/>
              </a:solidFill>
              <a:ln w="9525">
                <a:solidFill>
                  <a:sysClr val="windowText" lastClr="000000"/>
                </a:solidFill>
              </a:ln>
              <a:effectLst/>
            </c:spPr>
          </c:marker>
          <c:xVal>
            <c:numRef>
              <c:f>'OldData_full+half_combiE'!$N$70</c:f>
              <c:numCache>
                <c:formatCode>#,##0_);\(#,##0\)</c:formatCode>
                <c:ptCount val="1"/>
                <c:pt idx="0">
                  <c:v>3</c:v>
                </c:pt>
              </c:numCache>
            </c:numRef>
          </c:xVal>
          <c:yVal>
            <c:numRef>
              <c:f>'OldData_full+half_combiE'!$L$70</c:f>
              <c:numCache>
                <c:formatCode>0.00</c:formatCode>
                <c:ptCount val="1"/>
                <c:pt idx="0">
                  <c:v>61.5</c:v>
                </c:pt>
              </c:numCache>
            </c:numRef>
          </c:yVal>
          <c:smooth val="0"/>
          <c:extLst>
            <c:ext xmlns:c16="http://schemas.microsoft.com/office/drawing/2014/chart" uri="{C3380CC4-5D6E-409C-BE32-E72D297353CC}">
              <c16:uniqueId val="{00000001-C152-4D8C-9808-ADCD1CD3CB79}"/>
            </c:ext>
          </c:extLst>
        </c:ser>
        <c:ser>
          <c:idx val="20"/>
          <c:order val="20"/>
          <c:tx>
            <c:v>Giorik</c:v>
          </c:tx>
          <c:spPr>
            <a:ln w="19050" cap="rnd">
              <a:noFill/>
              <a:round/>
            </a:ln>
            <a:effectLst/>
          </c:spPr>
          <c:marker>
            <c:symbol val="diamond"/>
            <c:size val="8"/>
            <c:spPr>
              <a:pattFill prst="wdDnDiag">
                <a:fgClr>
                  <a:srgbClr val="FFC000"/>
                </a:fgClr>
                <a:bgClr>
                  <a:sysClr val="window" lastClr="FFFFFF"/>
                </a:bgClr>
              </a:pattFill>
              <a:ln w="9525">
                <a:solidFill>
                  <a:sysClr val="windowText" lastClr="000000"/>
                </a:solidFill>
              </a:ln>
              <a:effectLst/>
            </c:spPr>
          </c:marker>
          <c:xVal>
            <c:numRef>
              <c:f>'OldData_full+half_combiE'!$N$41:$N$45</c:f>
              <c:numCache>
                <c:formatCode>#,##0_);\(#,##0\)</c:formatCode>
                <c:ptCount val="5"/>
                <c:pt idx="0">
                  <c:v>6</c:v>
                </c:pt>
                <c:pt idx="1">
                  <c:v>12</c:v>
                </c:pt>
                <c:pt idx="2">
                  <c:v>10</c:v>
                </c:pt>
                <c:pt idx="3">
                  <c:v>20</c:v>
                </c:pt>
                <c:pt idx="4">
                  <c:v>20</c:v>
                </c:pt>
              </c:numCache>
            </c:numRef>
          </c:xVal>
          <c:yVal>
            <c:numRef>
              <c:f>'OldData_full+half_combiE'!$L$41:$L$45</c:f>
              <c:numCache>
                <c:formatCode>0.00</c:formatCode>
                <c:ptCount val="5"/>
                <c:pt idx="0">
                  <c:v>51</c:v>
                </c:pt>
                <c:pt idx="1">
                  <c:v>66</c:v>
                </c:pt>
                <c:pt idx="2">
                  <c:v>70</c:v>
                </c:pt>
                <c:pt idx="3">
                  <c:v>68</c:v>
                </c:pt>
                <c:pt idx="4">
                  <c:v>68</c:v>
                </c:pt>
              </c:numCache>
            </c:numRef>
          </c:yVal>
          <c:smooth val="0"/>
          <c:extLst>
            <c:ext xmlns:c16="http://schemas.microsoft.com/office/drawing/2014/chart" uri="{C3380CC4-5D6E-409C-BE32-E72D297353CC}">
              <c16:uniqueId val="{00000002-C152-4D8C-9808-ADCD1CD3CB79}"/>
            </c:ext>
          </c:extLst>
        </c:ser>
        <c:dLbls>
          <c:showLegendKey val="0"/>
          <c:showVal val="0"/>
          <c:showCatName val="0"/>
          <c:showSerName val="0"/>
          <c:showPercent val="0"/>
          <c:showBubbleSize val="0"/>
        </c:dLbls>
        <c:axId val="1339364527"/>
        <c:axId val="1486491071"/>
        <c:extLst/>
      </c:scatterChart>
      <c:valAx>
        <c:axId val="1339364527"/>
        <c:scaling>
          <c:orientation val="minMax"/>
          <c:max val="4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Pan Capacity</a:t>
                </a:r>
              </a:p>
            </c:rich>
          </c:tx>
          <c:layout>
            <c:manualLayout>
              <c:xMode val="edge"/>
              <c:yMode val="edge"/>
              <c:x val="0.39457930516131201"/>
              <c:y val="0.9569140277946551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6491071"/>
        <c:crosses val="autoZero"/>
        <c:crossBetween val="midCat"/>
      </c:valAx>
      <c:valAx>
        <c:axId val="1486491071"/>
        <c:scaling>
          <c:orientation val="minMax"/>
          <c:max val="80"/>
          <c:min val="3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Steam</a:t>
                </a:r>
                <a:r>
                  <a:rPr lang="en-US" b="1" baseline="0"/>
                  <a:t> </a:t>
                </a:r>
                <a:r>
                  <a:rPr lang="en-US" b="1"/>
                  <a:t> Efficiency,</a:t>
                </a:r>
                <a:r>
                  <a:rPr lang="en-US" b="1" baseline="0"/>
                  <a:t> %</a:t>
                </a:r>
                <a:endParaRPr lang="en-US"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9364527"/>
        <c:crosses val="autoZero"/>
        <c:crossBetween val="midCat"/>
      </c:valAx>
      <c:spPr>
        <a:noFill/>
        <a:ln>
          <a:solidFill>
            <a:schemeClr val="bg2">
              <a:lumMod val="90000"/>
            </a:schemeClr>
          </a:solidFill>
        </a:ln>
        <a:effectLst/>
      </c:spPr>
    </c:plotArea>
    <c:legend>
      <c:legendPos val="r"/>
      <c:layout>
        <c:manualLayout>
          <c:xMode val="edge"/>
          <c:yMode val="edge"/>
          <c:x val="0.83273093667056775"/>
          <c:y val="2.0335390920588887E-3"/>
          <c:w val="0.16726906332943223"/>
          <c:h val="0.9410658587962620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t>Convection Efficiency </a:t>
            </a:r>
          </a:p>
        </c:rich>
      </c:tx>
      <c:layout>
        <c:manualLayout>
          <c:xMode val="edge"/>
          <c:yMode val="edge"/>
          <c:x val="0.32184969237704919"/>
          <c:y val="1.82149027917089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9.6728977581204426E-2"/>
          <c:y val="6.4465324296189008E-2"/>
          <c:w val="0.72153194509819829"/>
          <c:h val="0.84347475217403511"/>
        </c:manualLayout>
      </c:layout>
      <c:scatterChart>
        <c:scatterStyle val="lineMarker"/>
        <c:varyColors val="0"/>
        <c:ser>
          <c:idx val="2"/>
          <c:order val="0"/>
          <c:tx>
            <c:v>New Min</c:v>
          </c:tx>
          <c:spPr>
            <a:ln w="41275" cap="rnd">
              <a:solidFill>
                <a:srgbClr val="70AD47">
                  <a:lumMod val="60000"/>
                  <a:lumOff val="40000"/>
                </a:srgbClr>
              </a:solidFill>
              <a:round/>
            </a:ln>
            <a:effectLst/>
          </c:spPr>
          <c:marker>
            <c:symbol val="none"/>
          </c:marker>
          <c:xVal>
            <c:numRef>
              <c:f>'Graph Electric combi Full+half'!$AK$40:$AK$41</c:f>
              <c:numCache>
                <c:formatCode>General</c:formatCode>
                <c:ptCount val="2"/>
                <c:pt idx="0">
                  <c:v>0</c:v>
                </c:pt>
                <c:pt idx="1">
                  <c:v>40</c:v>
                </c:pt>
              </c:numCache>
            </c:numRef>
          </c:xVal>
          <c:yVal>
            <c:numRef>
              <c:f>'Graph Electric combi Full+half'!$AL$40:$AL$41</c:f>
              <c:numCache>
                <c:formatCode>General</c:formatCode>
                <c:ptCount val="2"/>
                <c:pt idx="0">
                  <c:v>78</c:v>
                </c:pt>
                <c:pt idx="1">
                  <c:v>78</c:v>
                </c:pt>
              </c:numCache>
            </c:numRef>
          </c:yVal>
          <c:smooth val="0"/>
          <c:extLst>
            <c:ext xmlns:c16="http://schemas.microsoft.com/office/drawing/2014/chart" uri="{C3380CC4-5D6E-409C-BE32-E72D297353CC}">
              <c16:uniqueId val="{00000000-C475-4223-B6B9-8E01F6E10971}"/>
            </c:ext>
          </c:extLst>
        </c:ser>
        <c:ser>
          <c:idx val="5"/>
          <c:order val="1"/>
          <c:tx>
            <c:v>Current Min</c:v>
          </c:tx>
          <c:spPr>
            <a:ln w="19050" cap="rnd">
              <a:solidFill>
                <a:sysClr val="windowText" lastClr="000000"/>
              </a:solidFill>
              <a:prstDash val="dash"/>
              <a:round/>
            </a:ln>
            <a:effectLst/>
          </c:spPr>
          <c:marker>
            <c:symbol val="none"/>
          </c:marker>
          <c:xVal>
            <c:numRef>
              <c:f>'Graph Electric combi Full+half'!$AJ$49:$AJ$50</c:f>
              <c:numCache>
                <c:formatCode>General</c:formatCode>
                <c:ptCount val="2"/>
                <c:pt idx="0">
                  <c:v>0</c:v>
                </c:pt>
                <c:pt idx="1">
                  <c:v>40</c:v>
                </c:pt>
              </c:numCache>
            </c:numRef>
          </c:xVal>
          <c:yVal>
            <c:numRef>
              <c:f>'Graph Electric combi Full+half'!$AK$49:$AK$50</c:f>
              <c:numCache>
                <c:formatCode>General</c:formatCode>
                <c:ptCount val="2"/>
                <c:pt idx="0">
                  <c:v>76</c:v>
                </c:pt>
                <c:pt idx="1">
                  <c:v>76</c:v>
                </c:pt>
              </c:numCache>
            </c:numRef>
          </c:yVal>
          <c:smooth val="0"/>
          <c:extLst>
            <c:ext xmlns:c16="http://schemas.microsoft.com/office/drawing/2014/chart" uri="{C3380CC4-5D6E-409C-BE32-E72D297353CC}">
              <c16:uniqueId val="{00000001-C475-4223-B6B9-8E01F6E10971}"/>
            </c:ext>
          </c:extLst>
        </c:ser>
        <c:ser>
          <c:idx val="1"/>
          <c:order val="2"/>
          <c:tx>
            <c:v>Alto-Shaam</c:v>
          </c:tx>
          <c:spPr>
            <a:ln w="19050" cap="rnd">
              <a:noFill/>
              <a:round/>
            </a:ln>
            <a:effectLst/>
          </c:spPr>
          <c:marker>
            <c:symbol val="square"/>
            <c:size val="30"/>
            <c:spPr>
              <a:solidFill>
                <a:srgbClr val="E7E6E6">
                  <a:lumMod val="90000"/>
                </a:srgbClr>
              </a:solidFill>
              <a:ln w="6350">
                <a:solidFill>
                  <a:sysClr val="windowText" lastClr="000000"/>
                </a:solidFill>
              </a:ln>
              <a:effectLst/>
            </c:spPr>
          </c:marker>
          <c:xVal>
            <c:numRef>
              <c:f>'OldData_full+half_combiE'!$N$3:$N$5</c:f>
              <c:numCache>
                <c:formatCode>#,##0_);\(#,##0\)</c:formatCode>
                <c:ptCount val="3"/>
                <c:pt idx="0">
                  <c:v>14</c:v>
                </c:pt>
                <c:pt idx="1">
                  <c:v>14</c:v>
                </c:pt>
                <c:pt idx="2">
                  <c:v>14</c:v>
                </c:pt>
              </c:numCache>
            </c:numRef>
          </c:xVal>
          <c:yVal>
            <c:numRef>
              <c:f>'OldData_full+half_combiE'!$M$3:$M$5</c:f>
              <c:numCache>
                <c:formatCode>0.00</c:formatCode>
                <c:ptCount val="3"/>
                <c:pt idx="0">
                  <c:v>80</c:v>
                </c:pt>
                <c:pt idx="1">
                  <c:v>78</c:v>
                </c:pt>
                <c:pt idx="2">
                  <c:v>79</c:v>
                </c:pt>
              </c:numCache>
            </c:numRef>
          </c:yVal>
          <c:smooth val="0"/>
          <c:extLst xmlns:c15="http://schemas.microsoft.com/office/drawing/2012/chart">
            <c:ext xmlns:c16="http://schemas.microsoft.com/office/drawing/2014/chart" uri="{C3380CC4-5D6E-409C-BE32-E72D297353CC}">
              <c16:uniqueId val="{00000002-C475-4223-B6B9-8E01F6E10971}"/>
            </c:ext>
          </c:extLst>
        </c:ser>
        <c:ser>
          <c:idx val="4"/>
          <c:order val="3"/>
          <c:tx>
            <c:v>BKI</c:v>
          </c:tx>
          <c:spPr>
            <a:ln w="19050" cap="rnd">
              <a:noFill/>
              <a:round/>
            </a:ln>
            <a:effectLst/>
          </c:spPr>
          <c:marker>
            <c:symbol val="circle"/>
            <c:size val="40"/>
            <c:spPr>
              <a:solidFill>
                <a:srgbClr val="2276E6"/>
              </a:solidFill>
              <a:ln w="6350">
                <a:solidFill>
                  <a:sysClr val="windowText" lastClr="000000"/>
                </a:solidFill>
              </a:ln>
              <a:effectLst/>
            </c:spPr>
          </c:marker>
          <c:xVal>
            <c:numRef>
              <c:f>'OldData_full+half_combiE'!$N$9:$N$13</c:f>
              <c:numCache>
                <c:formatCode>#,##0_);\(#,##0\)</c:formatCode>
                <c:ptCount val="5"/>
                <c:pt idx="0">
                  <c:v>20</c:v>
                </c:pt>
                <c:pt idx="1">
                  <c:v>12</c:v>
                </c:pt>
                <c:pt idx="2">
                  <c:v>10</c:v>
                </c:pt>
                <c:pt idx="3">
                  <c:v>20</c:v>
                </c:pt>
                <c:pt idx="4">
                  <c:v>6</c:v>
                </c:pt>
              </c:numCache>
            </c:numRef>
          </c:xVal>
          <c:yVal>
            <c:numRef>
              <c:f>'OldData_full+half_combiE'!$M$9:$M$13</c:f>
              <c:numCache>
                <c:formatCode>0.00</c:formatCode>
                <c:ptCount val="5"/>
                <c:pt idx="0">
                  <c:v>84</c:v>
                </c:pt>
                <c:pt idx="1">
                  <c:v>76</c:v>
                </c:pt>
                <c:pt idx="2">
                  <c:v>76</c:v>
                </c:pt>
                <c:pt idx="3">
                  <c:v>81</c:v>
                </c:pt>
                <c:pt idx="4">
                  <c:v>73</c:v>
                </c:pt>
              </c:numCache>
            </c:numRef>
          </c:yVal>
          <c:smooth val="0"/>
          <c:extLst xmlns:c15="http://schemas.microsoft.com/office/drawing/2012/chart">
            <c:ext xmlns:c16="http://schemas.microsoft.com/office/drawing/2014/chart" uri="{C3380CC4-5D6E-409C-BE32-E72D297353CC}">
              <c16:uniqueId val="{00000003-C475-4223-B6B9-8E01F6E10971}"/>
            </c:ext>
          </c:extLst>
        </c:ser>
        <c:ser>
          <c:idx val="3"/>
          <c:order val="4"/>
          <c:tx>
            <c:v>Angelo Po</c:v>
          </c:tx>
          <c:spPr>
            <a:ln w="19050" cap="rnd">
              <a:noFill/>
              <a:round/>
            </a:ln>
            <a:effectLst/>
          </c:spPr>
          <c:marker>
            <c:symbol val="triangle"/>
            <c:size val="32"/>
            <c:spPr>
              <a:solidFill>
                <a:srgbClr val="E7E6E6">
                  <a:lumMod val="90000"/>
                </a:srgbClr>
              </a:solidFill>
              <a:ln w="6350">
                <a:solidFill>
                  <a:sysClr val="windowText" lastClr="000000"/>
                </a:solidFill>
              </a:ln>
              <a:effectLst/>
            </c:spPr>
          </c:marker>
          <c:xVal>
            <c:numRef>
              <c:f>'OldData_full+half_combiE'!$N$6:$N$8</c:f>
              <c:numCache>
                <c:formatCode>#,##0_);\(#,##0\)</c:formatCode>
                <c:ptCount val="3"/>
                <c:pt idx="0">
                  <c:v>16</c:v>
                </c:pt>
                <c:pt idx="1">
                  <c:v>24</c:v>
                </c:pt>
                <c:pt idx="2">
                  <c:v>40</c:v>
                </c:pt>
              </c:numCache>
            </c:numRef>
          </c:xVal>
          <c:yVal>
            <c:numRef>
              <c:f>'OldData_full+half_combiE'!$M$6:$M$8</c:f>
              <c:numCache>
                <c:formatCode>0.00</c:formatCode>
                <c:ptCount val="3"/>
                <c:pt idx="0">
                  <c:v>80</c:v>
                </c:pt>
                <c:pt idx="1">
                  <c:v>81.599999999999994</c:v>
                </c:pt>
                <c:pt idx="2">
                  <c:v>82</c:v>
                </c:pt>
              </c:numCache>
            </c:numRef>
          </c:yVal>
          <c:smooth val="0"/>
          <c:extLst xmlns:c15="http://schemas.microsoft.com/office/drawing/2012/chart">
            <c:ext xmlns:c16="http://schemas.microsoft.com/office/drawing/2014/chart" uri="{C3380CC4-5D6E-409C-BE32-E72D297353CC}">
              <c16:uniqueId val="{00000004-C475-4223-B6B9-8E01F6E10971}"/>
            </c:ext>
          </c:extLst>
        </c:ser>
        <c:ser>
          <c:idx val="0"/>
          <c:order val="5"/>
          <c:tx>
            <c:v>AccuTemp</c:v>
          </c:tx>
          <c:spPr>
            <a:ln w="19050" cap="rnd">
              <a:noFill/>
              <a:round/>
            </a:ln>
            <a:effectLst/>
          </c:spPr>
          <c:marker>
            <c:symbol val="diamond"/>
            <c:size val="34"/>
            <c:spPr>
              <a:solidFill>
                <a:srgbClr val="E7E6E6">
                  <a:lumMod val="90000"/>
                </a:srgbClr>
              </a:solidFill>
              <a:ln w="6350">
                <a:solidFill>
                  <a:sysClr val="windowText" lastClr="000000"/>
                </a:solidFill>
              </a:ln>
              <a:effectLst/>
            </c:spPr>
          </c:marker>
          <c:xVal>
            <c:numRef>
              <c:f>'OldData_full+half_combiE'!$N$2</c:f>
              <c:numCache>
                <c:formatCode>#,##0_);\(#,##0\)</c:formatCode>
                <c:ptCount val="1"/>
                <c:pt idx="0">
                  <c:v>12</c:v>
                </c:pt>
              </c:numCache>
            </c:numRef>
          </c:xVal>
          <c:yVal>
            <c:numRef>
              <c:f>'OldData_full+half_combiE'!$M$2</c:f>
              <c:numCache>
                <c:formatCode>0.00</c:formatCode>
                <c:ptCount val="1"/>
                <c:pt idx="0">
                  <c:v>80</c:v>
                </c:pt>
              </c:numCache>
            </c:numRef>
          </c:yVal>
          <c:smooth val="0"/>
          <c:extLst xmlns:c15="http://schemas.microsoft.com/office/drawing/2012/chart">
            <c:ext xmlns:c16="http://schemas.microsoft.com/office/drawing/2014/chart" uri="{C3380CC4-5D6E-409C-BE32-E72D297353CC}">
              <c16:uniqueId val="{00000005-C475-4223-B6B9-8E01F6E10971}"/>
            </c:ext>
          </c:extLst>
        </c:ser>
        <c:ser>
          <c:idx val="6"/>
          <c:order val="6"/>
          <c:tx>
            <c:v>Blodgett</c:v>
          </c:tx>
          <c:spPr>
            <a:ln w="19050" cap="rnd">
              <a:noFill/>
              <a:round/>
            </a:ln>
            <a:effectLst/>
          </c:spPr>
          <c:marker>
            <c:symbol val="diamond"/>
            <c:size val="36"/>
            <c:spPr>
              <a:pattFill prst="wdDnDiag">
                <a:fgClr>
                  <a:srgbClr val="2276E6"/>
                </a:fgClr>
                <a:bgClr>
                  <a:sysClr val="window" lastClr="FFFFFF"/>
                </a:bgClr>
              </a:pattFill>
              <a:ln w="6350">
                <a:solidFill>
                  <a:sysClr val="windowText" lastClr="000000"/>
                </a:solidFill>
              </a:ln>
              <a:effectLst/>
            </c:spPr>
          </c:marker>
          <c:xVal>
            <c:numRef>
              <c:f>'OldData_full+half_combiE'!$N$14:$N$21</c:f>
              <c:numCache>
                <c:formatCode>#,##0_);\(#,##0\)</c:formatCode>
                <c:ptCount val="8"/>
                <c:pt idx="0">
                  <c:v>6</c:v>
                </c:pt>
                <c:pt idx="1">
                  <c:v>4</c:v>
                </c:pt>
                <c:pt idx="2">
                  <c:v>4</c:v>
                </c:pt>
                <c:pt idx="3">
                  <c:v>5</c:v>
                </c:pt>
                <c:pt idx="4" formatCode="0">
                  <c:v>16</c:v>
                </c:pt>
                <c:pt idx="5">
                  <c:v>14</c:v>
                </c:pt>
                <c:pt idx="6">
                  <c:v>14</c:v>
                </c:pt>
                <c:pt idx="7">
                  <c:v>8</c:v>
                </c:pt>
              </c:numCache>
            </c:numRef>
          </c:xVal>
          <c:yVal>
            <c:numRef>
              <c:f>'OldData_full+half_combiE'!$M$14:$M$21</c:f>
              <c:numCache>
                <c:formatCode>0.00</c:formatCode>
                <c:ptCount val="8"/>
                <c:pt idx="0">
                  <c:v>78</c:v>
                </c:pt>
                <c:pt idx="1">
                  <c:v>73.400000000000006</c:v>
                </c:pt>
                <c:pt idx="2">
                  <c:v>72.2</c:v>
                </c:pt>
                <c:pt idx="3">
                  <c:v>71</c:v>
                </c:pt>
                <c:pt idx="4">
                  <c:v>75</c:v>
                </c:pt>
                <c:pt idx="5">
                  <c:v>72.7</c:v>
                </c:pt>
                <c:pt idx="6">
                  <c:v>74.8</c:v>
                </c:pt>
                <c:pt idx="7">
                  <c:v>72</c:v>
                </c:pt>
              </c:numCache>
            </c:numRef>
          </c:yVal>
          <c:smooth val="0"/>
          <c:extLst xmlns:c15="http://schemas.microsoft.com/office/drawing/2012/chart">
            <c:ext xmlns:c16="http://schemas.microsoft.com/office/drawing/2014/chart" uri="{C3380CC4-5D6E-409C-BE32-E72D297353CC}">
              <c16:uniqueId val="{00000006-C475-4223-B6B9-8E01F6E10971}"/>
            </c:ext>
          </c:extLst>
        </c:ser>
        <c:ser>
          <c:idx val="7"/>
          <c:order val="7"/>
          <c:tx>
            <c:v>Convotherm</c:v>
          </c:tx>
          <c:spPr>
            <a:ln w="19050" cap="rnd">
              <a:noFill/>
              <a:round/>
            </a:ln>
            <a:effectLst/>
          </c:spPr>
          <c:marker>
            <c:symbol val="square"/>
            <c:size val="20"/>
            <c:spPr>
              <a:pattFill prst="pct50">
                <a:fgClr>
                  <a:srgbClr val="2276E6"/>
                </a:fgClr>
                <a:bgClr>
                  <a:sysClr val="window" lastClr="FFFFFF"/>
                </a:bgClr>
              </a:pattFill>
              <a:ln w="15875">
                <a:solidFill>
                  <a:sysClr val="windowText" lastClr="000000"/>
                </a:solidFill>
              </a:ln>
              <a:effectLst/>
            </c:spPr>
          </c:marker>
          <c:xVal>
            <c:numRef>
              <c:f>'OldData_full+half_combiE'!$N$22:$N$33</c:f>
              <c:numCache>
                <c:formatCode>#,##0_);\(#,##0\)</c:formatCode>
                <c:ptCount val="12"/>
                <c:pt idx="0">
                  <c:v>14</c:v>
                </c:pt>
                <c:pt idx="1">
                  <c:v>14</c:v>
                </c:pt>
                <c:pt idx="2">
                  <c:v>10</c:v>
                </c:pt>
                <c:pt idx="3">
                  <c:v>20</c:v>
                </c:pt>
                <c:pt idx="4">
                  <c:v>20</c:v>
                </c:pt>
                <c:pt idx="5">
                  <c:v>22</c:v>
                </c:pt>
                <c:pt idx="6">
                  <c:v>22</c:v>
                </c:pt>
                <c:pt idx="7">
                  <c:v>20</c:v>
                </c:pt>
                <c:pt idx="8">
                  <c:v>14</c:v>
                </c:pt>
                <c:pt idx="9">
                  <c:v>5</c:v>
                </c:pt>
                <c:pt idx="10">
                  <c:v>3</c:v>
                </c:pt>
                <c:pt idx="11">
                  <c:v>4</c:v>
                </c:pt>
              </c:numCache>
            </c:numRef>
          </c:xVal>
          <c:yVal>
            <c:numRef>
              <c:f>'OldData_full+half_combiE'!$M$22:$M$33</c:f>
              <c:numCache>
                <c:formatCode>0.00</c:formatCode>
                <c:ptCount val="12"/>
                <c:pt idx="0">
                  <c:v>79</c:v>
                </c:pt>
                <c:pt idx="1">
                  <c:v>81</c:v>
                </c:pt>
                <c:pt idx="2">
                  <c:v>78</c:v>
                </c:pt>
                <c:pt idx="3">
                  <c:v>81</c:v>
                </c:pt>
                <c:pt idx="4">
                  <c:v>83</c:v>
                </c:pt>
                <c:pt idx="5">
                  <c:v>81</c:v>
                </c:pt>
                <c:pt idx="6">
                  <c:v>83</c:v>
                </c:pt>
                <c:pt idx="7">
                  <c:v>80</c:v>
                </c:pt>
                <c:pt idx="8">
                  <c:v>83</c:v>
                </c:pt>
                <c:pt idx="9">
                  <c:v>75</c:v>
                </c:pt>
                <c:pt idx="11">
                  <c:v>81</c:v>
                </c:pt>
              </c:numCache>
            </c:numRef>
          </c:yVal>
          <c:smooth val="0"/>
          <c:extLst xmlns:c15="http://schemas.microsoft.com/office/drawing/2012/chart">
            <c:ext xmlns:c16="http://schemas.microsoft.com/office/drawing/2014/chart" uri="{C3380CC4-5D6E-409C-BE32-E72D297353CC}">
              <c16:uniqueId val="{00000007-C475-4223-B6B9-8E01F6E10971}"/>
            </c:ext>
          </c:extLst>
        </c:ser>
        <c:ser>
          <c:idx val="10"/>
          <c:order val="8"/>
          <c:tx>
            <c:v>Henny Penny</c:v>
          </c:tx>
          <c:spPr>
            <a:ln w="19050" cap="rnd">
              <a:noFill/>
              <a:round/>
            </a:ln>
            <a:effectLst/>
          </c:spPr>
          <c:marker>
            <c:symbol val="diamond"/>
            <c:size val="36"/>
            <c:spPr>
              <a:pattFill prst="wdDnDiag">
                <a:fgClr>
                  <a:srgbClr val="00B050"/>
                </a:fgClr>
                <a:bgClr>
                  <a:sysClr val="window" lastClr="FFFFFF"/>
                </a:bgClr>
              </a:pattFill>
              <a:ln w="6350">
                <a:solidFill>
                  <a:sysClr val="windowText" lastClr="000000"/>
                </a:solidFill>
              </a:ln>
              <a:effectLst/>
            </c:spPr>
          </c:marker>
          <c:xVal>
            <c:numRef>
              <c:f>'OldData_full+half_combiE'!$N$46:$N$54</c:f>
              <c:numCache>
                <c:formatCode>#,##0_);\(#,##0\)</c:formatCode>
                <c:ptCount val="9"/>
                <c:pt idx="0">
                  <c:v>10</c:v>
                </c:pt>
                <c:pt idx="1">
                  <c:v>10</c:v>
                </c:pt>
                <c:pt idx="2">
                  <c:v>20</c:v>
                </c:pt>
                <c:pt idx="3">
                  <c:v>20</c:v>
                </c:pt>
                <c:pt idx="4">
                  <c:v>6</c:v>
                </c:pt>
                <c:pt idx="5">
                  <c:v>6</c:v>
                </c:pt>
                <c:pt idx="6">
                  <c:v>6</c:v>
                </c:pt>
                <c:pt idx="7">
                  <c:v>12</c:v>
                </c:pt>
                <c:pt idx="8">
                  <c:v>6</c:v>
                </c:pt>
              </c:numCache>
            </c:numRef>
          </c:xVal>
          <c:yVal>
            <c:numRef>
              <c:f>'OldData_full+half_combiE'!$M$46:$M$54</c:f>
              <c:numCache>
                <c:formatCode>0.00</c:formatCode>
                <c:ptCount val="9"/>
                <c:pt idx="0">
                  <c:v>81</c:v>
                </c:pt>
                <c:pt idx="1">
                  <c:v>79</c:v>
                </c:pt>
                <c:pt idx="2">
                  <c:v>85</c:v>
                </c:pt>
                <c:pt idx="3">
                  <c:v>78</c:v>
                </c:pt>
                <c:pt idx="4">
                  <c:v>81</c:v>
                </c:pt>
                <c:pt idx="5">
                  <c:v>77</c:v>
                </c:pt>
                <c:pt idx="6">
                  <c:v>75</c:v>
                </c:pt>
                <c:pt idx="7">
                  <c:v>85</c:v>
                </c:pt>
                <c:pt idx="8">
                  <c:v>78</c:v>
                </c:pt>
              </c:numCache>
            </c:numRef>
          </c:yVal>
          <c:smooth val="0"/>
          <c:extLst xmlns:c15="http://schemas.microsoft.com/office/drawing/2012/chart">
            <c:ext xmlns:c16="http://schemas.microsoft.com/office/drawing/2014/chart" uri="{C3380CC4-5D6E-409C-BE32-E72D297353CC}">
              <c16:uniqueId val="{00000008-C475-4223-B6B9-8E01F6E10971}"/>
            </c:ext>
          </c:extLst>
        </c:ser>
        <c:ser>
          <c:idx val="8"/>
          <c:order val="9"/>
          <c:tx>
            <c:v>Electrolux</c:v>
          </c:tx>
          <c:spPr>
            <a:ln w="19050" cap="rnd">
              <a:noFill/>
              <a:round/>
            </a:ln>
            <a:effectLst/>
          </c:spPr>
          <c:marker>
            <c:symbol val="triangle"/>
            <c:size val="28"/>
            <c:spPr>
              <a:solidFill>
                <a:srgbClr val="2276E6"/>
              </a:solidFill>
              <a:ln w="6350">
                <a:solidFill>
                  <a:sysClr val="windowText" lastClr="000000"/>
                </a:solidFill>
              </a:ln>
              <a:effectLst/>
            </c:spPr>
          </c:marker>
          <c:xVal>
            <c:numRef>
              <c:f>'OldData_full+half_combiE'!$N$34:$N$37</c:f>
              <c:numCache>
                <c:formatCode>#,##0_);\(#,##0\)</c:formatCode>
                <c:ptCount val="4"/>
                <c:pt idx="0">
                  <c:v>10</c:v>
                </c:pt>
                <c:pt idx="1">
                  <c:v>10</c:v>
                </c:pt>
                <c:pt idx="2">
                  <c:v>6</c:v>
                </c:pt>
                <c:pt idx="3">
                  <c:v>6</c:v>
                </c:pt>
              </c:numCache>
            </c:numRef>
          </c:xVal>
          <c:yVal>
            <c:numRef>
              <c:f>'OldData_full+half_combiE'!$M$34:$M$37</c:f>
              <c:numCache>
                <c:formatCode>0.00</c:formatCode>
                <c:ptCount val="4"/>
                <c:pt idx="0">
                  <c:v>78</c:v>
                </c:pt>
                <c:pt idx="1">
                  <c:v>85</c:v>
                </c:pt>
                <c:pt idx="2">
                  <c:v>77</c:v>
                </c:pt>
                <c:pt idx="3">
                  <c:v>86</c:v>
                </c:pt>
              </c:numCache>
            </c:numRef>
          </c:yVal>
          <c:smooth val="0"/>
          <c:extLst xmlns:c15="http://schemas.microsoft.com/office/drawing/2012/chart">
            <c:ext xmlns:c16="http://schemas.microsoft.com/office/drawing/2014/chart" uri="{C3380CC4-5D6E-409C-BE32-E72D297353CC}">
              <c16:uniqueId val="{00000009-C475-4223-B6B9-8E01F6E10971}"/>
            </c:ext>
          </c:extLst>
        </c:ser>
        <c:ser>
          <c:idx val="9"/>
          <c:order val="10"/>
          <c:tx>
            <c:v>Eloma</c:v>
          </c:tx>
          <c:spPr>
            <a:ln w="19050" cap="rnd">
              <a:noFill/>
              <a:round/>
            </a:ln>
            <a:effectLst/>
          </c:spPr>
          <c:marker>
            <c:symbol val="circle"/>
            <c:size val="20"/>
            <c:spPr>
              <a:solidFill>
                <a:srgbClr val="00B050"/>
              </a:solidFill>
              <a:ln w="9525">
                <a:solidFill>
                  <a:sysClr val="windowText" lastClr="000000"/>
                </a:solidFill>
              </a:ln>
              <a:effectLst/>
            </c:spPr>
          </c:marker>
          <c:xVal>
            <c:numRef>
              <c:f>'OldData_full+half_combiE'!$N$38:$N$40</c:f>
              <c:numCache>
                <c:formatCode>#,##0_);\(#,##0\)</c:formatCode>
                <c:ptCount val="3"/>
                <c:pt idx="0">
                  <c:v>24</c:v>
                </c:pt>
                <c:pt idx="1">
                  <c:v>5</c:v>
                </c:pt>
                <c:pt idx="2">
                  <c:v>40</c:v>
                </c:pt>
              </c:numCache>
            </c:numRef>
          </c:xVal>
          <c:yVal>
            <c:numRef>
              <c:f>'OldData_full+half_combiE'!$M$38:$M$40</c:f>
              <c:numCache>
                <c:formatCode>0.00</c:formatCode>
                <c:ptCount val="3"/>
                <c:pt idx="0">
                  <c:v>78</c:v>
                </c:pt>
                <c:pt idx="1">
                  <c:v>63.67</c:v>
                </c:pt>
                <c:pt idx="2">
                  <c:v>76</c:v>
                </c:pt>
              </c:numCache>
            </c:numRef>
          </c:yVal>
          <c:smooth val="0"/>
          <c:extLst xmlns:c15="http://schemas.microsoft.com/office/drawing/2012/chart">
            <c:ext xmlns:c16="http://schemas.microsoft.com/office/drawing/2014/chart" uri="{C3380CC4-5D6E-409C-BE32-E72D297353CC}">
              <c16:uniqueId val="{0000000A-C475-4223-B6B9-8E01F6E10971}"/>
            </c:ext>
          </c:extLst>
        </c:ser>
        <c:ser>
          <c:idx val="11"/>
          <c:order val="11"/>
          <c:tx>
            <c:v>Hobart</c:v>
          </c:tx>
          <c:spPr>
            <a:ln w="19050" cap="rnd">
              <a:noFill/>
              <a:round/>
            </a:ln>
            <a:effectLst/>
          </c:spPr>
          <c:marker>
            <c:symbol val="square"/>
            <c:size val="25"/>
            <c:spPr>
              <a:solidFill>
                <a:srgbClr val="00B050"/>
              </a:solidFill>
              <a:ln w="6350">
                <a:solidFill>
                  <a:sysClr val="windowText" lastClr="000000"/>
                </a:solidFill>
              </a:ln>
              <a:effectLst/>
            </c:spPr>
          </c:marker>
          <c:xVal>
            <c:numRef>
              <c:f>'OldData_full+half_combiE'!$N$55:$N$56</c:f>
              <c:numCache>
                <c:formatCode>#,##0_);\(#,##0\)</c:formatCode>
                <c:ptCount val="2"/>
                <c:pt idx="0">
                  <c:v>38</c:v>
                </c:pt>
                <c:pt idx="1">
                  <c:v>20</c:v>
                </c:pt>
              </c:numCache>
            </c:numRef>
          </c:xVal>
          <c:yVal>
            <c:numRef>
              <c:f>'OldData_full+half_combiE'!$L$55:$L$56</c:f>
              <c:numCache>
                <c:formatCode>0.00</c:formatCode>
                <c:ptCount val="2"/>
                <c:pt idx="0">
                  <c:v>57</c:v>
                </c:pt>
                <c:pt idx="1">
                  <c:v>66</c:v>
                </c:pt>
              </c:numCache>
            </c:numRef>
          </c:yVal>
          <c:smooth val="0"/>
          <c:extLst xmlns:c15="http://schemas.microsoft.com/office/drawing/2012/chart">
            <c:ext xmlns:c16="http://schemas.microsoft.com/office/drawing/2014/chart" uri="{C3380CC4-5D6E-409C-BE32-E72D297353CC}">
              <c16:uniqueId val="{0000000B-C475-4223-B6B9-8E01F6E10971}"/>
            </c:ext>
          </c:extLst>
        </c:ser>
        <c:ser>
          <c:idx val="12"/>
          <c:order val="12"/>
          <c:tx>
            <c:v>Lainox</c:v>
          </c:tx>
          <c:spPr>
            <a:ln w="19050" cap="rnd">
              <a:noFill/>
              <a:round/>
            </a:ln>
            <a:effectLst/>
          </c:spPr>
          <c:marker>
            <c:symbol val="triangle"/>
            <c:size val="26"/>
            <c:spPr>
              <a:solidFill>
                <a:srgbClr val="00B050"/>
              </a:solidFill>
              <a:ln w="9525">
                <a:solidFill>
                  <a:sysClr val="windowText" lastClr="000000"/>
                </a:solidFill>
              </a:ln>
              <a:effectLst/>
            </c:spPr>
          </c:marker>
          <c:xVal>
            <c:numRef>
              <c:f>'OldData_full+half_combiE'!$N$57:$N$66</c:f>
              <c:numCache>
                <c:formatCode>#,##0_);\(#,##0\)</c:formatCode>
                <c:ptCount val="10"/>
                <c:pt idx="0">
                  <c:v>7</c:v>
                </c:pt>
                <c:pt idx="1">
                  <c:v>14</c:v>
                </c:pt>
                <c:pt idx="2">
                  <c:v>10</c:v>
                </c:pt>
                <c:pt idx="3">
                  <c:v>20</c:v>
                </c:pt>
                <c:pt idx="4">
                  <c:v>20</c:v>
                </c:pt>
                <c:pt idx="5">
                  <c:v>7</c:v>
                </c:pt>
                <c:pt idx="6">
                  <c:v>14</c:v>
                </c:pt>
                <c:pt idx="7">
                  <c:v>10</c:v>
                </c:pt>
                <c:pt idx="8">
                  <c:v>20</c:v>
                </c:pt>
                <c:pt idx="9">
                  <c:v>20</c:v>
                </c:pt>
              </c:numCache>
            </c:numRef>
          </c:xVal>
          <c:yVal>
            <c:numRef>
              <c:f>'OldData_full+half_combiE'!$M$57:$M$66</c:f>
              <c:numCache>
                <c:formatCode>0.00</c:formatCode>
                <c:ptCount val="10"/>
                <c:pt idx="0">
                  <c:v>78</c:v>
                </c:pt>
                <c:pt idx="1">
                  <c:v>81</c:v>
                </c:pt>
                <c:pt idx="2">
                  <c:v>82</c:v>
                </c:pt>
                <c:pt idx="3">
                  <c:v>83</c:v>
                </c:pt>
                <c:pt idx="4">
                  <c:v>78</c:v>
                </c:pt>
                <c:pt idx="5">
                  <c:v>78</c:v>
                </c:pt>
                <c:pt idx="6">
                  <c:v>81</c:v>
                </c:pt>
                <c:pt idx="7">
                  <c:v>82</c:v>
                </c:pt>
                <c:pt idx="8">
                  <c:v>84</c:v>
                </c:pt>
                <c:pt idx="9">
                  <c:v>78</c:v>
                </c:pt>
              </c:numCache>
            </c:numRef>
          </c:yVal>
          <c:smooth val="0"/>
          <c:extLst xmlns:c15="http://schemas.microsoft.com/office/drawing/2012/chart">
            <c:ext xmlns:c16="http://schemas.microsoft.com/office/drawing/2014/chart" uri="{C3380CC4-5D6E-409C-BE32-E72D297353CC}">
              <c16:uniqueId val="{0000000C-C475-4223-B6B9-8E01F6E10971}"/>
            </c:ext>
          </c:extLst>
        </c:ser>
        <c:ser>
          <c:idx val="13"/>
          <c:order val="13"/>
          <c:tx>
            <c:v>Moffat</c:v>
          </c:tx>
          <c:spPr>
            <a:ln w="19050" cap="rnd">
              <a:noFill/>
              <a:round/>
            </a:ln>
            <a:effectLst/>
          </c:spPr>
          <c:marker>
            <c:symbol val="circle"/>
            <c:size val="16"/>
            <c:spPr>
              <a:solidFill>
                <a:srgbClr val="FF0000"/>
              </a:solidFill>
              <a:ln w="9525">
                <a:solidFill>
                  <a:sysClr val="windowText" lastClr="000000"/>
                </a:solidFill>
              </a:ln>
              <a:effectLst/>
            </c:spPr>
          </c:marker>
          <c:xVal>
            <c:numRef>
              <c:f>'OldData_full+half_combiE'!$N$67</c:f>
              <c:numCache>
                <c:formatCode>#,##0_);\(#,##0\)</c:formatCode>
                <c:ptCount val="1"/>
                <c:pt idx="0">
                  <c:v>5</c:v>
                </c:pt>
              </c:numCache>
            </c:numRef>
          </c:xVal>
          <c:yVal>
            <c:numRef>
              <c:f>'OldData_full+half_combiE'!$M$67</c:f>
              <c:numCache>
                <c:formatCode>0.00</c:formatCode>
                <c:ptCount val="1"/>
                <c:pt idx="0">
                  <c:v>71</c:v>
                </c:pt>
              </c:numCache>
            </c:numRef>
          </c:yVal>
          <c:smooth val="0"/>
          <c:extLst xmlns:c15="http://schemas.microsoft.com/office/drawing/2012/chart">
            <c:ext xmlns:c16="http://schemas.microsoft.com/office/drawing/2014/chart" uri="{C3380CC4-5D6E-409C-BE32-E72D297353CC}">
              <c16:uniqueId val="{0000000D-C475-4223-B6B9-8E01F6E10971}"/>
            </c:ext>
          </c:extLst>
        </c:ser>
        <c:ser>
          <c:idx val="14"/>
          <c:order val="14"/>
          <c:tx>
            <c:v>Piper</c:v>
          </c:tx>
          <c:spPr>
            <a:ln w="19050" cap="rnd">
              <a:noFill/>
              <a:round/>
            </a:ln>
            <a:effectLst/>
          </c:spPr>
          <c:marker>
            <c:symbol val="diamond"/>
            <c:size val="24"/>
            <c:spPr>
              <a:pattFill prst="wdDnDiag">
                <a:fgClr>
                  <a:srgbClr val="FF0000"/>
                </a:fgClr>
                <a:bgClr>
                  <a:sysClr val="window" lastClr="FFFFFF"/>
                </a:bgClr>
              </a:pattFill>
              <a:ln w="9525">
                <a:solidFill>
                  <a:sysClr val="windowText" lastClr="000000"/>
                </a:solidFill>
              </a:ln>
              <a:effectLst/>
            </c:spPr>
          </c:marker>
          <c:xVal>
            <c:numRef>
              <c:f>'OldData_full+half_combiE'!$N$69</c:f>
              <c:numCache>
                <c:formatCode>#,##0_);\(#,##0\)</c:formatCode>
                <c:ptCount val="1"/>
                <c:pt idx="0">
                  <c:v>6</c:v>
                </c:pt>
              </c:numCache>
            </c:numRef>
          </c:xVal>
          <c:yVal>
            <c:numRef>
              <c:f>'OldData_full+half_combiE'!$M$69</c:f>
              <c:numCache>
                <c:formatCode>0.00</c:formatCode>
                <c:ptCount val="1"/>
                <c:pt idx="0">
                  <c:v>76</c:v>
                </c:pt>
              </c:numCache>
            </c:numRef>
          </c:yVal>
          <c:smooth val="0"/>
          <c:extLst xmlns:c15="http://schemas.microsoft.com/office/drawing/2012/chart">
            <c:ext xmlns:c16="http://schemas.microsoft.com/office/drawing/2014/chart" uri="{C3380CC4-5D6E-409C-BE32-E72D297353CC}">
              <c16:uniqueId val="{0000000E-C475-4223-B6B9-8E01F6E10971}"/>
            </c:ext>
          </c:extLst>
        </c:ser>
        <c:ser>
          <c:idx val="16"/>
          <c:order val="15"/>
          <c:tx>
            <c:v>Retigo s.r.o</c:v>
          </c:tx>
          <c:spPr>
            <a:ln w="19050" cap="rnd">
              <a:noFill/>
              <a:round/>
            </a:ln>
            <a:effectLst/>
          </c:spPr>
          <c:marker>
            <c:symbol val="triangle"/>
            <c:size val="22"/>
            <c:spPr>
              <a:pattFill prst="pct75">
                <a:fgClr>
                  <a:srgbClr val="FF0000"/>
                </a:fgClr>
                <a:bgClr>
                  <a:sysClr val="window" lastClr="FFFFFF"/>
                </a:bgClr>
              </a:pattFill>
              <a:ln w="9525">
                <a:solidFill>
                  <a:sysClr val="windowText" lastClr="000000"/>
                </a:solidFill>
              </a:ln>
              <a:effectLst/>
            </c:spPr>
          </c:marker>
          <c:xVal>
            <c:numRef>
              <c:f>'OldData_full+half_combiE'!$N$96</c:f>
              <c:numCache>
                <c:formatCode>#,##0_);\(#,##0\)</c:formatCode>
                <c:ptCount val="1"/>
                <c:pt idx="0">
                  <c:v>10</c:v>
                </c:pt>
              </c:numCache>
            </c:numRef>
          </c:xVal>
          <c:yVal>
            <c:numRef>
              <c:f>'OldData_full+half_combiE'!$M$96</c:f>
              <c:numCache>
                <c:formatCode>0.00</c:formatCode>
                <c:ptCount val="1"/>
                <c:pt idx="0">
                  <c:v>81</c:v>
                </c:pt>
              </c:numCache>
            </c:numRef>
          </c:yVal>
          <c:smooth val="0"/>
          <c:extLst xmlns:c15="http://schemas.microsoft.com/office/drawing/2012/chart">
            <c:ext xmlns:c16="http://schemas.microsoft.com/office/drawing/2014/chart" uri="{C3380CC4-5D6E-409C-BE32-E72D297353CC}">
              <c16:uniqueId val="{0000000F-C475-4223-B6B9-8E01F6E10971}"/>
            </c:ext>
          </c:extLst>
        </c:ser>
        <c:ser>
          <c:idx val="15"/>
          <c:order val="16"/>
          <c:tx>
            <c:v>Rational AG</c:v>
          </c:tx>
          <c:spPr>
            <a:ln w="19050" cap="rnd">
              <a:noFill/>
              <a:round/>
            </a:ln>
            <a:effectLst/>
          </c:spPr>
          <c:marker>
            <c:symbol val="square"/>
            <c:size val="10"/>
            <c:spPr>
              <a:solidFill>
                <a:srgbClr val="FF0000"/>
              </a:solidFill>
              <a:ln w="6350">
                <a:solidFill>
                  <a:sysClr val="windowText" lastClr="000000"/>
                </a:solidFill>
              </a:ln>
              <a:effectLst/>
            </c:spPr>
          </c:marker>
          <c:xVal>
            <c:numRef>
              <c:f>'OldData_full+half_combiE'!$N$71:$N$95</c:f>
              <c:numCache>
                <c:formatCode>#,##0_);\(#,##0\)</c:formatCode>
                <c:ptCount val="25"/>
                <c:pt idx="0">
                  <c:v>6</c:v>
                </c:pt>
                <c:pt idx="1">
                  <c:v>6</c:v>
                </c:pt>
                <c:pt idx="2">
                  <c:v>6</c:v>
                </c:pt>
                <c:pt idx="3">
                  <c:v>10</c:v>
                </c:pt>
                <c:pt idx="4">
                  <c:v>6</c:v>
                </c:pt>
                <c:pt idx="5">
                  <c:v>12</c:v>
                </c:pt>
                <c:pt idx="6">
                  <c:v>12</c:v>
                </c:pt>
                <c:pt idx="7">
                  <c:v>10</c:v>
                </c:pt>
                <c:pt idx="8">
                  <c:v>20</c:v>
                </c:pt>
                <c:pt idx="9">
                  <c:v>20</c:v>
                </c:pt>
                <c:pt idx="10">
                  <c:v>20</c:v>
                </c:pt>
                <c:pt idx="11">
                  <c:v>10</c:v>
                </c:pt>
                <c:pt idx="12">
                  <c:v>20</c:v>
                </c:pt>
                <c:pt idx="13">
                  <c:v>20</c:v>
                </c:pt>
                <c:pt idx="14">
                  <c:v>20</c:v>
                </c:pt>
                <c:pt idx="15">
                  <c:v>6</c:v>
                </c:pt>
                <c:pt idx="16">
                  <c:v>6</c:v>
                </c:pt>
                <c:pt idx="17">
                  <c:v>12</c:v>
                </c:pt>
                <c:pt idx="18">
                  <c:v>12</c:v>
                </c:pt>
                <c:pt idx="19">
                  <c:v>40</c:v>
                </c:pt>
                <c:pt idx="20">
                  <c:v>10</c:v>
                </c:pt>
                <c:pt idx="21">
                  <c:v>12</c:v>
                </c:pt>
                <c:pt idx="22">
                  <c:v>20</c:v>
                </c:pt>
                <c:pt idx="23">
                  <c:v>6</c:v>
                </c:pt>
                <c:pt idx="24">
                  <c:v>6</c:v>
                </c:pt>
              </c:numCache>
            </c:numRef>
          </c:xVal>
          <c:yVal>
            <c:numRef>
              <c:f>'OldData_full+half_combiE'!$M$71:$M$95</c:f>
              <c:numCache>
                <c:formatCode>0.00</c:formatCode>
                <c:ptCount val="25"/>
                <c:pt idx="0">
                  <c:v>76</c:v>
                </c:pt>
                <c:pt idx="1">
                  <c:v>80</c:v>
                </c:pt>
                <c:pt idx="2">
                  <c:v>76</c:v>
                </c:pt>
                <c:pt idx="3">
                  <c:v>79</c:v>
                </c:pt>
                <c:pt idx="4">
                  <c:v>77</c:v>
                </c:pt>
                <c:pt idx="5">
                  <c:v>81</c:v>
                </c:pt>
                <c:pt idx="6">
                  <c:v>82</c:v>
                </c:pt>
                <c:pt idx="7">
                  <c:v>80</c:v>
                </c:pt>
                <c:pt idx="8">
                  <c:v>76</c:v>
                </c:pt>
                <c:pt idx="9">
                  <c:v>82</c:v>
                </c:pt>
                <c:pt idx="10">
                  <c:v>82</c:v>
                </c:pt>
                <c:pt idx="11">
                  <c:v>77</c:v>
                </c:pt>
                <c:pt idx="12">
                  <c:v>79</c:v>
                </c:pt>
                <c:pt idx="13">
                  <c:v>81</c:v>
                </c:pt>
                <c:pt idx="14">
                  <c:v>77</c:v>
                </c:pt>
                <c:pt idx="15">
                  <c:v>76</c:v>
                </c:pt>
                <c:pt idx="16">
                  <c:v>76</c:v>
                </c:pt>
                <c:pt idx="17">
                  <c:v>79</c:v>
                </c:pt>
                <c:pt idx="18">
                  <c:v>78</c:v>
                </c:pt>
                <c:pt idx="19">
                  <c:v>78</c:v>
                </c:pt>
                <c:pt idx="20">
                  <c:v>79</c:v>
                </c:pt>
                <c:pt idx="21">
                  <c:v>79</c:v>
                </c:pt>
                <c:pt idx="22">
                  <c:v>79</c:v>
                </c:pt>
                <c:pt idx="23">
                  <c:v>76</c:v>
                </c:pt>
                <c:pt idx="24">
                  <c:v>76</c:v>
                </c:pt>
              </c:numCache>
            </c:numRef>
          </c:yVal>
          <c:smooth val="0"/>
          <c:extLst xmlns:c15="http://schemas.microsoft.com/office/drawing/2012/chart">
            <c:ext xmlns:c16="http://schemas.microsoft.com/office/drawing/2014/chart" uri="{C3380CC4-5D6E-409C-BE32-E72D297353CC}">
              <c16:uniqueId val="{00000010-C475-4223-B6B9-8E01F6E10971}"/>
            </c:ext>
          </c:extLst>
        </c:ser>
        <c:ser>
          <c:idx val="17"/>
          <c:order val="17"/>
          <c:tx>
            <c:v>UNOX</c:v>
          </c:tx>
          <c:spPr>
            <a:ln w="19050" cap="rnd">
              <a:noFill/>
              <a:round/>
            </a:ln>
            <a:effectLst/>
          </c:spPr>
          <c:marker>
            <c:symbol val="circle"/>
            <c:size val="8"/>
            <c:spPr>
              <a:solidFill>
                <a:srgbClr val="FFC000"/>
              </a:solidFill>
              <a:ln w="6350">
                <a:solidFill>
                  <a:sysClr val="windowText" lastClr="000000"/>
                </a:solidFill>
              </a:ln>
              <a:effectLst/>
            </c:spPr>
          </c:marker>
          <c:xVal>
            <c:numRef>
              <c:f>'OldData_full+half_combiE'!$N$97:$N$110</c:f>
              <c:numCache>
                <c:formatCode>#,##0_);\(#,##0\)</c:formatCode>
                <c:ptCount val="14"/>
                <c:pt idx="0">
                  <c:v>5</c:v>
                </c:pt>
                <c:pt idx="1">
                  <c:v>5</c:v>
                </c:pt>
                <c:pt idx="2">
                  <c:v>5</c:v>
                </c:pt>
                <c:pt idx="3">
                  <c:v>12</c:v>
                </c:pt>
                <c:pt idx="4">
                  <c:v>10</c:v>
                </c:pt>
                <c:pt idx="5">
                  <c:v>10</c:v>
                </c:pt>
                <c:pt idx="6">
                  <c:v>20</c:v>
                </c:pt>
                <c:pt idx="7">
                  <c:v>5</c:v>
                </c:pt>
                <c:pt idx="8">
                  <c:v>7</c:v>
                </c:pt>
                <c:pt idx="9">
                  <c:v>10</c:v>
                </c:pt>
                <c:pt idx="10">
                  <c:v>20</c:v>
                </c:pt>
                <c:pt idx="11">
                  <c:v>20</c:v>
                </c:pt>
                <c:pt idx="12">
                  <c:v>32</c:v>
                </c:pt>
                <c:pt idx="13">
                  <c:v>32</c:v>
                </c:pt>
              </c:numCache>
            </c:numRef>
          </c:xVal>
          <c:yVal>
            <c:numRef>
              <c:f>'OldData_full+half_combiE'!$M$97:$M$110</c:f>
              <c:numCache>
                <c:formatCode>0.00</c:formatCode>
                <c:ptCount val="14"/>
                <c:pt idx="0">
                  <c:v>77</c:v>
                </c:pt>
                <c:pt idx="1">
                  <c:v>76</c:v>
                </c:pt>
                <c:pt idx="2">
                  <c:v>78</c:v>
                </c:pt>
                <c:pt idx="3">
                  <c:v>79</c:v>
                </c:pt>
                <c:pt idx="4">
                  <c:v>79</c:v>
                </c:pt>
                <c:pt idx="5">
                  <c:v>82</c:v>
                </c:pt>
                <c:pt idx="6">
                  <c:v>83</c:v>
                </c:pt>
                <c:pt idx="7">
                  <c:v>81</c:v>
                </c:pt>
                <c:pt idx="8">
                  <c:v>77</c:v>
                </c:pt>
                <c:pt idx="9">
                  <c:v>78</c:v>
                </c:pt>
                <c:pt idx="10">
                  <c:v>77</c:v>
                </c:pt>
                <c:pt idx="11">
                  <c:v>77</c:v>
                </c:pt>
                <c:pt idx="12">
                  <c:v>82.7</c:v>
                </c:pt>
                <c:pt idx="13">
                  <c:v>84.5</c:v>
                </c:pt>
              </c:numCache>
            </c:numRef>
          </c:yVal>
          <c:smooth val="0"/>
          <c:extLst xmlns:c15="http://schemas.microsoft.com/office/drawing/2012/chart">
            <c:ext xmlns:c16="http://schemas.microsoft.com/office/drawing/2014/chart" uri="{C3380CC4-5D6E-409C-BE32-E72D297353CC}">
              <c16:uniqueId val="{00000011-C475-4223-B6B9-8E01F6E10971}"/>
            </c:ext>
          </c:extLst>
        </c:ser>
        <c:ser>
          <c:idx val="18"/>
          <c:order val="18"/>
          <c:tx>
            <c:v>Masked Data</c:v>
          </c:tx>
          <c:spPr>
            <a:ln w="19050" cap="rnd">
              <a:noFill/>
              <a:round/>
            </a:ln>
            <a:effectLst/>
          </c:spPr>
          <c:marker>
            <c:symbol val="circle"/>
            <c:size val="12"/>
            <c:spPr>
              <a:solidFill>
                <a:srgbClr val="E7E6E6">
                  <a:lumMod val="90000"/>
                </a:srgbClr>
              </a:solidFill>
              <a:ln w="9525">
                <a:solidFill>
                  <a:sysClr val="windowText" lastClr="000000"/>
                </a:solidFill>
              </a:ln>
              <a:effectLst/>
            </c:spPr>
          </c:marker>
          <c:xVal>
            <c:numRef>
              <c:f>'OldData_full+half_combiE'!$N$111:$N$125</c:f>
              <c:numCache>
                <c:formatCode>#,##0_);\(#,##0\)</c:formatCode>
                <c:ptCount val="15"/>
                <c:pt idx="0">
                  <c:v>20</c:v>
                </c:pt>
                <c:pt idx="1">
                  <c:v>20</c:v>
                </c:pt>
                <c:pt idx="2">
                  <c:v>20</c:v>
                </c:pt>
                <c:pt idx="3">
                  <c:v>14</c:v>
                </c:pt>
                <c:pt idx="4">
                  <c:v>14</c:v>
                </c:pt>
                <c:pt idx="5">
                  <c:v>14</c:v>
                </c:pt>
                <c:pt idx="6">
                  <c:v>11</c:v>
                </c:pt>
                <c:pt idx="7">
                  <c:v>9</c:v>
                </c:pt>
                <c:pt idx="8">
                  <c:v>6</c:v>
                </c:pt>
                <c:pt idx="9">
                  <c:v>6</c:v>
                </c:pt>
                <c:pt idx="10">
                  <c:v>5</c:v>
                </c:pt>
                <c:pt idx="11">
                  <c:v>5</c:v>
                </c:pt>
                <c:pt idx="12">
                  <c:v>5</c:v>
                </c:pt>
                <c:pt idx="13">
                  <c:v>4</c:v>
                </c:pt>
                <c:pt idx="14">
                  <c:v>3</c:v>
                </c:pt>
              </c:numCache>
            </c:numRef>
          </c:xVal>
          <c:yVal>
            <c:numRef>
              <c:f>'OldData_full+half_combiE'!$M$111:$M$125</c:f>
              <c:numCache>
                <c:formatCode>0.00</c:formatCode>
                <c:ptCount val="15"/>
                <c:pt idx="0">
                  <c:v>79</c:v>
                </c:pt>
                <c:pt idx="1">
                  <c:v>74.7</c:v>
                </c:pt>
                <c:pt idx="2">
                  <c:v>82.199999999999989</c:v>
                </c:pt>
                <c:pt idx="3">
                  <c:v>74.8</c:v>
                </c:pt>
                <c:pt idx="4">
                  <c:v>79</c:v>
                </c:pt>
                <c:pt idx="5">
                  <c:v>85</c:v>
                </c:pt>
                <c:pt idx="6">
                  <c:v>76.03</c:v>
                </c:pt>
                <c:pt idx="7">
                  <c:v>70.099999999999994</c:v>
                </c:pt>
                <c:pt idx="8">
                  <c:v>76</c:v>
                </c:pt>
                <c:pt idx="9">
                  <c:v>66.2</c:v>
                </c:pt>
                <c:pt idx="10">
                  <c:v>71</c:v>
                </c:pt>
                <c:pt idx="11">
                  <c:v>65.3</c:v>
                </c:pt>
                <c:pt idx="12">
                  <c:v>63.67</c:v>
                </c:pt>
                <c:pt idx="13">
                  <c:v>60</c:v>
                </c:pt>
                <c:pt idx="14">
                  <c:v>73.7</c:v>
                </c:pt>
              </c:numCache>
            </c:numRef>
          </c:yVal>
          <c:smooth val="0"/>
          <c:extLst xmlns:c15="http://schemas.microsoft.com/office/drawing/2012/chart">
            <c:ext xmlns:c16="http://schemas.microsoft.com/office/drawing/2014/chart" uri="{C3380CC4-5D6E-409C-BE32-E72D297353CC}">
              <c16:uniqueId val="{00000012-C475-4223-B6B9-8E01F6E10971}"/>
            </c:ext>
          </c:extLst>
        </c:ser>
        <c:ser>
          <c:idx val="19"/>
          <c:order val="19"/>
          <c:tx>
            <c:v>Pratica</c:v>
          </c:tx>
          <c:spPr>
            <a:ln w="19050" cap="rnd">
              <a:noFill/>
              <a:round/>
            </a:ln>
            <a:effectLst/>
          </c:spPr>
          <c:marker>
            <c:symbol val="circle"/>
            <c:size val="8"/>
            <c:spPr>
              <a:solidFill>
                <a:srgbClr val="ED7D31"/>
              </a:solidFill>
              <a:ln w="9525">
                <a:solidFill>
                  <a:sysClr val="windowText" lastClr="000000"/>
                </a:solidFill>
              </a:ln>
              <a:effectLst/>
            </c:spPr>
          </c:marker>
          <c:xVal>
            <c:numRef>
              <c:f>'OldData_full+half_combiE'!$N$70</c:f>
              <c:numCache>
                <c:formatCode>#,##0_);\(#,##0\)</c:formatCode>
                <c:ptCount val="1"/>
                <c:pt idx="0">
                  <c:v>3</c:v>
                </c:pt>
              </c:numCache>
            </c:numRef>
          </c:xVal>
          <c:yVal>
            <c:numRef>
              <c:f>'OldData_full+half_combiE'!$M$70</c:f>
              <c:numCache>
                <c:formatCode>0.00</c:formatCode>
                <c:ptCount val="1"/>
                <c:pt idx="0">
                  <c:v>73.7</c:v>
                </c:pt>
              </c:numCache>
            </c:numRef>
          </c:yVal>
          <c:smooth val="0"/>
          <c:extLst>
            <c:ext xmlns:c16="http://schemas.microsoft.com/office/drawing/2014/chart" uri="{C3380CC4-5D6E-409C-BE32-E72D297353CC}">
              <c16:uniqueId val="{00000000-7D64-4FD1-8E82-46C9E623DD05}"/>
            </c:ext>
          </c:extLst>
        </c:ser>
        <c:ser>
          <c:idx val="20"/>
          <c:order val="20"/>
          <c:tx>
            <c:v>Giorik</c:v>
          </c:tx>
          <c:spPr>
            <a:ln w="19050" cap="rnd">
              <a:noFill/>
              <a:round/>
            </a:ln>
            <a:effectLst/>
          </c:spPr>
          <c:marker>
            <c:symbol val="diamond"/>
            <c:size val="8"/>
            <c:spPr>
              <a:pattFill prst="wdDnDiag">
                <a:fgClr>
                  <a:srgbClr val="FFC000"/>
                </a:fgClr>
                <a:bgClr>
                  <a:sysClr val="window" lastClr="FFFFFF"/>
                </a:bgClr>
              </a:pattFill>
              <a:ln w="9525">
                <a:solidFill>
                  <a:sysClr val="windowText" lastClr="000000"/>
                </a:solidFill>
              </a:ln>
              <a:effectLst/>
            </c:spPr>
          </c:marker>
          <c:xVal>
            <c:numRef>
              <c:f>'OldData_full+half_combiE'!$N$41:$N$45</c:f>
              <c:numCache>
                <c:formatCode>#,##0_);\(#,##0\)</c:formatCode>
                <c:ptCount val="5"/>
                <c:pt idx="0">
                  <c:v>6</c:v>
                </c:pt>
                <c:pt idx="1">
                  <c:v>12</c:v>
                </c:pt>
                <c:pt idx="2">
                  <c:v>10</c:v>
                </c:pt>
                <c:pt idx="3">
                  <c:v>20</c:v>
                </c:pt>
                <c:pt idx="4">
                  <c:v>20</c:v>
                </c:pt>
              </c:numCache>
            </c:numRef>
          </c:xVal>
          <c:yVal>
            <c:numRef>
              <c:f>'OldData_full+half_combiE'!$M$41:$M$45</c:f>
              <c:numCache>
                <c:formatCode>0.00</c:formatCode>
                <c:ptCount val="5"/>
                <c:pt idx="0">
                  <c:v>73</c:v>
                </c:pt>
                <c:pt idx="1">
                  <c:v>76</c:v>
                </c:pt>
                <c:pt idx="2">
                  <c:v>76</c:v>
                </c:pt>
                <c:pt idx="3">
                  <c:v>81</c:v>
                </c:pt>
                <c:pt idx="4">
                  <c:v>84</c:v>
                </c:pt>
              </c:numCache>
            </c:numRef>
          </c:yVal>
          <c:smooth val="0"/>
          <c:extLst>
            <c:ext xmlns:c16="http://schemas.microsoft.com/office/drawing/2014/chart" uri="{C3380CC4-5D6E-409C-BE32-E72D297353CC}">
              <c16:uniqueId val="{00000001-7D64-4FD1-8E82-46C9E623DD05}"/>
            </c:ext>
          </c:extLst>
        </c:ser>
        <c:dLbls>
          <c:showLegendKey val="0"/>
          <c:showVal val="0"/>
          <c:showCatName val="0"/>
          <c:showSerName val="0"/>
          <c:showPercent val="0"/>
          <c:showBubbleSize val="0"/>
        </c:dLbls>
        <c:axId val="1339364527"/>
        <c:axId val="1486491071"/>
        <c:extLst/>
      </c:scatterChart>
      <c:valAx>
        <c:axId val="1339364527"/>
        <c:scaling>
          <c:orientation val="minMax"/>
          <c:max val="4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Pan Capacity</a:t>
                </a:r>
              </a:p>
            </c:rich>
          </c:tx>
          <c:layout>
            <c:manualLayout>
              <c:xMode val="edge"/>
              <c:yMode val="edge"/>
              <c:x val="0.45198317788872561"/>
              <c:y val="0.9568858110224681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6491071"/>
        <c:crosses val="autoZero"/>
        <c:crossBetween val="midCat"/>
      </c:valAx>
      <c:valAx>
        <c:axId val="1486491071"/>
        <c:scaling>
          <c:orientation val="minMax"/>
          <c:max val="90"/>
          <c:min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Convection</a:t>
                </a:r>
                <a:r>
                  <a:rPr lang="en-US" b="1" baseline="0"/>
                  <a:t> </a:t>
                </a:r>
                <a:r>
                  <a:rPr lang="en-US" b="1"/>
                  <a:t> Efficiency,</a:t>
                </a:r>
                <a:r>
                  <a:rPr lang="en-US" b="1" baseline="0"/>
                  <a:t> %</a:t>
                </a:r>
                <a:endParaRPr lang="en-US" b="1"/>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39364527"/>
        <c:crosses val="autoZero"/>
        <c:crossBetween val="midCat"/>
      </c:valAx>
      <c:spPr>
        <a:noFill/>
        <a:ln>
          <a:solidFill>
            <a:schemeClr val="bg2">
              <a:lumMod val="90000"/>
            </a:schemeClr>
          </a:solidFill>
        </a:ln>
        <a:effectLst/>
      </c:spPr>
    </c:plotArea>
    <c:legend>
      <c:legendPos val="r"/>
      <c:layout>
        <c:manualLayout>
          <c:xMode val="edge"/>
          <c:yMode val="edge"/>
          <c:x val="0.83069170628721234"/>
          <c:y val="2.0335390920588887E-3"/>
          <c:w val="0.16930829371278763"/>
          <c:h val="0.957142086315680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Electric and Gas Combis: data from ESTAR QPL</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#REF!</c:f>
              <c:strCache>
                <c:ptCount val="1"/>
                <c:pt idx="0">
                  <c:v>#REF!</c:v>
                </c:pt>
              </c:strCache>
            </c:strRef>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Ref>
              <c:f>#REF!</c:f>
            </c:numRef>
          </c:xVal>
          <c:yVal>
            <c:numRef>
              <c:f>#REF!</c:f>
              <c:numCache>
                <c:formatCode>General</c:formatCode>
                <c:ptCount val="1"/>
                <c:pt idx="0">
                  <c:v>1</c:v>
                </c:pt>
              </c:numCache>
            </c:numRef>
          </c:yVal>
          <c:smooth val="0"/>
          <c:extLst>
            <c:ext xmlns:c16="http://schemas.microsoft.com/office/drawing/2014/chart" uri="{C3380CC4-5D6E-409C-BE32-E72D297353CC}">
              <c16:uniqueId val="{00000000-5A3C-413B-ABE6-C411C4B973B1}"/>
            </c:ext>
          </c:extLst>
        </c:ser>
        <c:ser>
          <c:idx val="1"/>
          <c:order val="1"/>
          <c:tx>
            <c:v>Gas combi</c:v>
          </c:tx>
          <c:spPr>
            <a:ln w="25400" cap="rnd">
              <a:noFill/>
              <a:round/>
            </a:ln>
            <a:effectLst/>
          </c:spPr>
          <c:marker>
            <c:symbol val="circle"/>
            <c:size val="7"/>
            <c:spPr>
              <a:solidFill>
                <a:schemeClr val="accent2"/>
              </a:solidFill>
              <a:ln w="9525">
                <a:solidFill>
                  <a:sysClr val="windowText" lastClr="000000">
                    <a:lumMod val="75000"/>
                    <a:lumOff val="25000"/>
                  </a:sysClr>
                </a:solidFill>
              </a:ln>
              <a:effectLst/>
            </c:spPr>
          </c:marker>
          <c:xVal>
            <c:numRef>
              <c:f>#REF!</c:f>
            </c:numRef>
          </c:xVal>
          <c:yVal>
            <c:numRef>
              <c:f>#REF!</c:f>
              <c:numCache>
                <c:formatCode>General</c:formatCode>
                <c:ptCount val="1"/>
                <c:pt idx="0">
                  <c:v>1</c:v>
                </c:pt>
              </c:numCache>
            </c:numRef>
          </c:yVal>
          <c:smooth val="0"/>
          <c:extLst>
            <c:ext xmlns:c16="http://schemas.microsoft.com/office/drawing/2014/chart" uri="{C3380CC4-5D6E-409C-BE32-E72D297353CC}">
              <c16:uniqueId val="{00000001-5A3C-413B-ABE6-C411C4B973B1}"/>
            </c:ext>
          </c:extLst>
        </c:ser>
        <c:dLbls>
          <c:showLegendKey val="0"/>
          <c:showVal val="0"/>
          <c:showCatName val="0"/>
          <c:showSerName val="0"/>
          <c:showPercent val="0"/>
          <c:showBubbleSize val="0"/>
        </c:dLbls>
        <c:axId val="1308162111"/>
        <c:axId val="1308162527"/>
      </c:scatterChart>
      <c:valAx>
        <c:axId val="1308162111"/>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Steam Pan</a:t>
                </a:r>
                <a:r>
                  <a:rPr lang="en-US" baseline="0"/>
                  <a:t> Capacity</a:t>
                </a:r>
                <a:endParaRPr lang="en-US"/>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8162527"/>
        <c:crosses val="autoZero"/>
        <c:crossBetween val="midCat"/>
      </c:valAx>
      <c:valAx>
        <c:axId val="13081625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gallons per hour per pan</a:t>
                </a:r>
              </a:p>
            </c:rich>
          </c:tx>
          <c:layout>
            <c:manualLayout>
              <c:xMode val="edge"/>
              <c:yMode val="edge"/>
              <c:x val="1.0256410256410256E-2"/>
              <c:y val="0.4213870281538492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0816211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0.png"/><Relationship Id="rId4"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drawing5.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 Id="rId4" Type="http://schemas.openxmlformats.org/officeDocument/2006/relationships/image" Target="../media/image26.png"/></Relationships>
</file>

<file path=xl/drawings/_rels/drawing7.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57150</xdr:rowOff>
    </xdr:from>
    <xdr:to>
      <xdr:col>12</xdr:col>
      <xdr:colOff>214013</xdr:colOff>
      <xdr:row>35</xdr:row>
      <xdr:rowOff>48567</xdr:rowOff>
    </xdr:to>
    <xdr:pic>
      <xdr:nvPicPr>
        <xdr:cNvPr id="9" name="Picture 8">
          <a:extLst>
            <a:ext uri="{FF2B5EF4-FFF2-40B4-BE49-F238E27FC236}">
              <a16:creationId xmlns:a16="http://schemas.microsoft.com/office/drawing/2014/main" id="{96C36098-BB25-4DFD-ACC0-9FEC4682A8D2}"/>
            </a:ext>
          </a:extLst>
        </xdr:cNvPr>
        <xdr:cNvPicPr>
          <a:picLocks noChangeAspect="1"/>
        </xdr:cNvPicPr>
      </xdr:nvPicPr>
      <xdr:blipFill>
        <a:blip xmlns:r="http://schemas.openxmlformats.org/officeDocument/2006/relationships" r:embed="rId1"/>
        <a:stretch>
          <a:fillRect/>
        </a:stretch>
      </xdr:blipFill>
      <xdr:spPr>
        <a:xfrm>
          <a:off x="0" y="247650"/>
          <a:ext cx="7529213" cy="6468417"/>
        </a:xfrm>
        <a:prstGeom prst="rect">
          <a:avLst/>
        </a:prstGeom>
      </xdr:spPr>
    </xdr:pic>
    <xdr:clientData/>
  </xdr:twoCellAnchor>
  <xdr:twoCellAnchor editAs="oneCell">
    <xdr:from>
      <xdr:col>12</xdr:col>
      <xdr:colOff>0</xdr:colOff>
      <xdr:row>1</xdr:row>
      <xdr:rowOff>76200</xdr:rowOff>
    </xdr:from>
    <xdr:to>
      <xdr:col>24</xdr:col>
      <xdr:colOff>250592</xdr:colOff>
      <xdr:row>35</xdr:row>
      <xdr:rowOff>79810</xdr:rowOff>
    </xdr:to>
    <xdr:pic>
      <xdr:nvPicPr>
        <xdr:cNvPr id="11" name="Picture 10">
          <a:extLst>
            <a:ext uri="{FF2B5EF4-FFF2-40B4-BE49-F238E27FC236}">
              <a16:creationId xmlns:a16="http://schemas.microsoft.com/office/drawing/2014/main" id="{01892247-1B5B-4089-ABC9-087DB9D00600}"/>
            </a:ext>
          </a:extLst>
        </xdr:cNvPr>
        <xdr:cNvPicPr>
          <a:picLocks noChangeAspect="1"/>
        </xdr:cNvPicPr>
      </xdr:nvPicPr>
      <xdr:blipFill>
        <a:blip xmlns:r="http://schemas.openxmlformats.org/officeDocument/2006/relationships" r:embed="rId2"/>
        <a:stretch>
          <a:fillRect/>
        </a:stretch>
      </xdr:blipFill>
      <xdr:spPr>
        <a:xfrm>
          <a:off x="7315200" y="266700"/>
          <a:ext cx="7565792" cy="6480610"/>
        </a:xfrm>
        <a:prstGeom prst="rect">
          <a:avLst/>
        </a:prstGeom>
      </xdr:spPr>
    </xdr:pic>
    <xdr:clientData/>
  </xdr:twoCellAnchor>
  <xdr:twoCellAnchor editAs="oneCell">
    <xdr:from>
      <xdr:col>0</xdr:col>
      <xdr:colOff>0</xdr:colOff>
      <xdr:row>35</xdr:row>
      <xdr:rowOff>0</xdr:rowOff>
    </xdr:from>
    <xdr:to>
      <xdr:col>12</xdr:col>
      <xdr:colOff>207916</xdr:colOff>
      <xdr:row>69</xdr:row>
      <xdr:rowOff>3610</xdr:rowOff>
    </xdr:to>
    <xdr:pic>
      <xdr:nvPicPr>
        <xdr:cNvPr id="12" name="Picture 11">
          <a:extLst>
            <a:ext uri="{FF2B5EF4-FFF2-40B4-BE49-F238E27FC236}">
              <a16:creationId xmlns:a16="http://schemas.microsoft.com/office/drawing/2014/main" id="{9DCFB744-8E5A-49AC-AAD7-A8AA3CFB73FD}"/>
            </a:ext>
          </a:extLst>
        </xdr:cNvPr>
        <xdr:cNvPicPr>
          <a:picLocks noChangeAspect="1"/>
        </xdr:cNvPicPr>
      </xdr:nvPicPr>
      <xdr:blipFill>
        <a:blip xmlns:r="http://schemas.openxmlformats.org/officeDocument/2006/relationships" r:embed="rId3"/>
        <a:stretch>
          <a:fillRect/>
        </a:stretch>
      </xdr:blipFill>
      <xdr:spPr>
        <a:xfrm>
          <a:off x="0" y="6667500"/>
          <a:ext cx="7523116" cy="6480610"/>
        </a:xfrm>
        <a:prstGeom prst="rect">
          <a:avLst/>
        </a:prstGeom>
      </xdr:spPr>
    </xdr:pic>
    <xdr:clientData/>
  </xdr:twoCellAnchor>
  <xdr:twoCellAnchor editAs="oneCell">
    <xdr:from>
      <xdr:col>12</xdr:col>
      <xdr:colOff>0</xdr:colOff>
      <xdr:row>35</xdr:row>
      <xdr:rowOff>0</xdr:rowOff>
    </xdr:from>
    <xdr:to>
      <xdr:col>24</xdr:col>
      <xdr:colOff>256688</xdr:colOff>
      <xdr:row>69</xdr:row>
      <xdr:rowOff>9706</xdr:rowOff>
    </xdr:to>
    <xdr:pic>
      <xdr:nvPicPr>
        <xdr:cNvPr id="16" name="Picture 15">
          <a:extLst>
            <a:ext uri="{FF2B5EF4-FFF2-40B4-BE49-F238E27FC236}">
              <a16:creationId xmlns:a16="http://schemas.microsoft.com/office/drawing/2014/main" id="{1F9AE4B9-D4DA-46D8-ABC8-757375B947C5}"/>
            </a:ext>
          </a:extLst>
        </xdr:cNvPr>
        <xdr:cNvPicPr>
          <a:picLocks noChangeAspect="1"/>
        </xdr:cNvPicPr>
      </xdr:nvPicPr>
      <xdr:blipFill>
        <a:blip xmlns:r="http://schemas.openxmlformats.org/officeDocument/2006/relationships" r:embed="rId4"/>
        <a:stretch>
          <a:fillRect/>
        </a:stretch>
      </xdr:blipFill>
      <xdr:spPr>
        <a:xfrm>
          <a:off x="7315200" y="6667500"/>
          <a:ext cx="7571888" cy="6486706"/>
        </a:xfrm>
        <a:prstGeom prst="rect">
          <a:avLst/>
        </a:prstGeom>
      </xdr:spPr>
    </xdr:pic>
    <xdr:clientData/>
  </xdr:twoCellAnchor>
  <xdr:twoCellAnchor editAs="oneCell">
    <xdr:from>
      <xdr:col>25</xdr:col>
      <xdr:colOff>0</xdr:colOff>
      <xdr:row>4</xdr:row>
      <xdr:rowOff>0</xdr:rowOff>
    </xdr:from>
    <xdr:to>
      <xdr:col>29</xdr:col>
      <xdr:colOff>542802</xdr:colOff>
      <xdr:row>22</xdr:row>
      <xdr:rowOff>58214</xdr:rowOff>
    </xdr:to>
    <xdr:pic>
      <xdr:nvPicPr>
        <xdr:cNvPr id="2" name="Picture 1">
          <a:extLst>
            <a:ext uri="{FF2B5EF4-FFF2-40B4-BE49-F238E27FC236}">
              <a16:creationId xmlns:a16="http://schemas.microsoft.com/office/drawing/2014/main" id="{1DD129B5-A095-49FA-A83F-FDB534011B6F}"/>
            </a:ext>
          </a:extLst>
        </xdr:cNvPr>
        <xdr:cNvPicPr>
          <a:picLocks noChangeAspect="1"/>
        </xdr:cNvPicPr>
      </xdr:nvPicPr>
      <xdr:blipFill>
        <a:blip xmlns:r="http://schemas.openxmlformats.org/officeDocument/2006/relationships" r:embed="rId5"/>
        <a:stretch>
          <a:fillRect/>
        </a:stretch>
      </xdr:blipFill>
      <xdr:spPr>
        <a:xfrm>
          <a:off x="15240000" y="939800"/>
          <a:ext cx="2981202" cy="3487214"/>
        </a:xfrm>
        <a:prstGeom prst="rect">
          <a:avLst/>
        </a:prstGeom>
      </xdr:spPr>
    </xdr:pic>
    <xdr:clientData/>
  </xdr:twoCellAnchor>
  <xdr:twoCellAnchor editAs="oneCell">
    <xdr:from>
      <xdr:col>25</xdr:col>
      <xdr:colOff>0</xdr:colOff>
      <xdr:row>43</xdr:row>
      <xdr:rowOff>0</xdr:rowOff>
    </xdr:from>
    <xdr:to>
      <xdr:col>30</xdr:col>
      <xdr:colOff>79519</xdr:colOff>
      <xdr:row>48</xdr:row>
      <xdr:rowOff>120489</xdr:rowOff>
    </xdr:to>
    <xdr:pic>
      <xdr:nvPicPr>
        <xdr:cNvPr id="3" name="Picture 2">
          <a:extLst>
            <a:ext uri="{FF2B5EF4-FFF2-40B4-BE49-F238E27FC236}">
              <a16:creationId xmlns:a16="http://schemas.microsoft.com/office/drawing/2014/main" id="{A6110938-E00F-453A-83B7-2A20D2957771}"/>
            </a:ext>
          </a:extLst>
        </xdr:cNvPr>
        <xdr:cNvPicPr>
          <a:picLocks noChangeAspect="1"/>
        </xdr:cNvPicPr>
      </xdr:nvPicPr>
      <xdr:blipFill>
        <a:blip xmlns:r="http://schemas.openxmlformats.org/officeDocument/2006/relationships" r:embed="rId6"/>
        <a:stretch>
          <a:fillRect/>
        </a:stretch>
      </xdr:blipFill>
      <xdr:spPr>
        <a:xfrm>
          <a:off x="15240000" y="8369300"/>
          <a:ext cx="3127519" cy="107298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53975</xdr:rowOff>
    </xdr:from>
    <xdr:to>
      <xdr:col>48</xdr:col>
      <xdr:colOff>178594</xdr:colOff>
      <xdr:row>35</xdr:row>
      <xdr:rowOff>111125</xdr:rowOff>
    </xdr:to>
    <xdr:sp macro="" textlink="">
      <xdr:nvSpPr>
        <xdr:cNvPr id="2" name="Rectangle 3">
          <a:extLst>
            <a:ext uri="{FF2B5EF4-FFF2-40B4-BE49-F238E27FC236}">
              <a16:creationId xmlns:a16="http://schemas.microsoft.com/office/drawing/2014/main" id="{6D1CC471-2BFD-447D-AFCC-F1F35B78FEB1}"/>
            </a:ext>
          </a:extLst>
        </xdr:cNvPr>
        <xdr:cNvSpPr/>
      </xdr:nvSpPr>
      <xdr:spPr>
        <a:xfrm>
          <a:off x="0" y="53975"/>
          <a:ext cx="29442569" cy="638175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9525</xdr:colOff>
      <xdr:row>3</xdr:row>
      <xdr:rowOff>95250</xdr:rowOff>
    </xdr:from>
    <xdr:to>
      <xdr:col>11</xdr:col>
      <xdr:colOff>133970</xdr:colOff>
      <xdr:row>34</xdr:row>
      <xdr:rowOff>40140</xdr:rowOff>
    </xdr:to>
    <xdr:graphicFrame macro="">
      <xdr:nvGraphicFramePr>
        <xdr:cNvPr id="3" name="Chart 2">
          <a:extLst>
            <a:ext uri="{FF2B5EF4-FFF2-40B4-BE49-F238E27FC236}">
              <a16:creationId xmlns:a16="http://schemas.microsoft.com/office/drawing/2014/main" id="{330AC7A4-5C08-4943-8BBD-9102071F2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602066</xdr:colOff>
      <xdr:row>16</xdr:row>
      <xdr:rowOff>8560</xdr:rowOff>
    </xdr:from>
    <xdr:to>
      <xdr:col>9</xdr:col>
      <xdr:colOff>264583</xdr:colOff>
      <xdr:row>31</xdr:row>
      <xdr:rowOff>64901</xdr:rowOff>
    </xdr:to>
    <xdr:sp macro="" textlink="">
      <xdr:nvSpPr>
        <xdr:cNvPr id="7" name="Freeform: Shape 6">
          <a:extLst>
            <a:ext uri="{FF2B5EF4-FFF2-40B4-BE49-F238E27FC236}">
              <a16:creationId xmlns:a16="http://schemas.microsoft.com/office/drawing/2014/main" id="{3211A256-6666-4C87-B3A2-B05F04DB4BF9}"/>
            </a:ext>
          </a:extLst>
        </xdr:cNvPr>
        <xdr:cNvSpPr/>
      </xdr:nvSpPr>
      <xdr:spPr>
        <a:xfrm>
          <a:off x="1215899" y="2876643"/>
          <a:ext cx="4573184" cy="2755091"/>
        </a:xfrm>
        <a:custGeom>
          <a:avLst/>
          <a:gdLst>
            <a:gd name="connsiteX0" fmla="*/ 0 w 4667250"/>
            <a:gd name="connsiteY0" fmla="*/ 2454088 h 2751044"/>
            <a:gd name="connsiteX1" fmla="*/ 5603 w 4667250"/>
            <a:gd name="connsiteY1" fmla="*/ 2751044 h 2751044"/>
            <a:gd name="connsiteX2" fmla="*/ 4656044 w 4667250"/>
            <a:gd name="connsiteY2" fmla="*/ 2745441 h 2751044"/>
            <a:gd name="connsiteX3" fmla="*/ 4667250 w 4667250"/>
            <a:gd name="connsiteY3" fmla="*/ 0 h 2751044"/>
            <a:gd name="connsiteX4" fmla="*/ 0 w 4667250"/>
            <a:gd name="connsiteY4" fmla="*/ 2454088 h 275104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667250" h="2751044">
              <a:moveTo>
                <a:pt x="0" y="2454088"/>
              </a:moveTo>
              <a:lnTo>
                <a:pt x="5603" y="2751044"/>
              </a:lnTo>
              <a:lnTo>
                <a:pt x="4656044" y="2745441"/>
              </a:lnTo>
              <a:cubicBezTo>
                <a:pt x="4659779" y="1830294"/>
                <a:pt x="4663515" y="915147"/>
                <a:pt x="4667250" y="0"/>
              </a:cubicBezTo>
              <a:lnTo>
                <a:pt x="0" y="2454088"/>
              </a:lnTo>
              <a:close/>
            </a:path>
          </a:pathLst>
        </a:custGeom>
        <a:solidFill>
          <a:schemeClr val="accent6">
            <a:lumMod val="40000"/>
            <a:lumOff val="6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53975</xdr:colOff>
      <xdr:row>2</xdr:row>
      <xdr:rowOff>142875</xdr:rowOff>
    </xdr:from>
    <xdr:to>
      <xdr:col>22</xdr:col>
      <xdr:colOff>181595</xdr:colOff>
      <xdr:row>33</xdr:row>
      <xdr:rowOff>94115</xdr:rowOff>
    </xdr:to>
    <xdr:graphicFrame macro="">
      <xdr:nvGraphicFramePr>
        <xdr:cNvPr id="4" name="Chart 2">
          <a:extLst>
            <a:ext uri="{FF2B5EF4-FFF2-40B4-BE49-F238E27FC236}">
              <a16:creationId xmlns:a16="http://schemas.microsoft.com/office/drawing/2014/main" id="{E1F7CEC6-9ED9-47CC-950C-C4BFB6EAA0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22</xdr:col>
      <xdr:colOff>530679</xdr:colOff>
      <xdr:row>2</xdr:row>
      <xdr:rowOff>160111</xdr:rowOff>
    </xdr:from>
    <xdr:to>
      <xdr:col>33</xdr:col>
      <xdr:colOff>42802</xdr:colOff>
      <xdr:row>33</xdr:row>
      <xdr:rowOff>120876</xdr:rowOff>
    </xdr:to>
    <xdr:graphicFrame macro="">
      <xdr:nvGraphicFramePr>
        <xdr:cNvPr id="5" name="Chart 2">
          <a:extLst>
            <a:ext uri="{FF2B5EF4-FFF2-40B4-BE49-F238E27FC236}">
              <a16:creationId xmlns:a16="http://schemas.microsoft.com/office/drawing/2014/main" id="{290B7ABB-9858-4FBE-9C6F-7FE9EBD13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34</xdr:col>
      <xdr:colOff>369094</xdr:colOff>
      <xdr:row>2</xdr:row>
      <xdr:rowOff>130969</xdr:rowOff>
    </xdr:from>
    <xdr:to>
      <xdr:col>44</xdr:col>
      <xdr:colOff>494786</xdr:colOff>
      <xdr:row>33</xdr:row>
      <xdr:rowOff>94909</xdr:rowOff>
    </xdr:to>
    <xdr:graphicFrame macro="">
      <xdr:nvGraphicFramePr>
        <xdr:cNvPr id="6" name="Chart 2">
          <a:extLst>
            <a:ext uri="{FF2B5EF4-FFF2-40B4-BE49-F238E27FC236}">
              <a16:creationId xmlns:a16="http://schemas.microsoft.com/office/drawing/2014/main" id="{EADBACE0-C92A-473D-982B-2782C13E2C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48759</xdr:colOff>
      <xdr:row>6</xdr:row>
      <xdr:rowOff>169484</xdr:rowOff>
    </xdr:from>
    <xdr:to>
      <xdr:col>20</xdr:col>
      <xdr:colOff>285750</xdr:colOff>
      <xdr:row>30</xdr:row>
      <xdr:rowOff>179009</xdr:rowOff>
    </xdr:to>
    <xdr:sp macro="" textlink="">
      <xdr:nvSpPr>
        <xdr:cNvPr id="8" name="Freeform: Shape 7">
          <a:extLst>
            <a:ext uri="{FF2B5EF4-FFF2-40B4-BE49-F238E27FC236}">
              <a16:creationId xmlns:a16="http://schemas.microsoft.com/office/drawing/2014/main" id="{B1ACCAB7-AB32-4BD6-892D-7FEC86B12BCA}"/>
            </a:ext>
          </a:extLst>
        </xdr:cNvPr>
        <xdr:cNvSpPr/>
      </xdr:nvSpPr>
      <xdr:spPr>
        <a:xfrm>
          <a:off x="8028592" y="1238401"/>
          <a:ext cx="4533825" cy="4327525"/>
        </a:xfrm>
        <a:custGeom>
          <a:avLst/>
          <a:gdLst>
            <a:gd name="connsiteX0" fmla="*/ 0 w 4674054"/>
            <a:gd name="connsiteY0" fmla="*/ 3816804 h 4408715"/>
            <a:gd name="connsiteX1" fmla="*/ 6804 w 4674054"/>
            <a:gd name="connsiteY1" fmla="*/ 4408715 h 4408715"/>
            <a:gd name="connsiteX2" fmla="*/ 4667250 w 4674054"/>
            <a:gd name="connsiteY2" fmla="*/ 4401911 h 4408715"/>
            <a:gd name="connsiteX3" fmla="*/ 4674054 w 4674054"/>
            <a:gd name="connsiteY3" fmla="*/ 0 h 4408715"/>
            <a:gd name="connsiteX4" fmla="*/ 0 w 4674054"/>
            <a:gd name="connsiteY4" fmla="*/ 3816804 h 4408715"/>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674054" h="4408715">
              <a:moveTo>
                <a:pt x="0" y="3816804"/>
              </a:moveTo>
              <a:lnTo>
                <a:pt x="6804" y="4408715"/>
              </a:lnTo>
              <a:lnTo>
                <a:pt x="4667250" y="4401911"/>
              </a:lnTo>
              <a:lnTo>
                <a:pt x="4674054" y="0"/>
              </a:lnTo>
              <a:lnTo>
                <a:pt x="0" y="3816804"/>
              </a:lnTo>
              <a:close/>
            </a:path>
          </a:pathLst>
        </a:custGeom>
        <a:solidFill>
          <a:schemeClr val="accent6">
            <a:lumMod val="40000"/>
            <a:lumOff val="6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23</xdr:col>
      <xdr:colOff>533401</xdr:colOff>
      <xdr:row>4</xdr:row>
      <xdr:rowOff>163512</xdr:rowOff>
    </xdr:from>
    <xdr:to>
      <xdr:col>31</xdr:col>
      <xdr:colOff>120651</xdr:colOff>
      <xdr:row>15</xdr:row>
      <xdr:rowOff>158750</xdr:rowOff>
    </xdr:to>
    <xdr:sp macro="" textlink="">
      <xdr:nvSpPr>
        <xdr:cNvPr id="9" name="Rectangle 8">
          <a:extLst>
            <a:ext uri="{FF2B5EF4-FFF2-40B4-BE49-F238E27FC236}">
              <a16:creationId xmlns:a16="http://schemas.microsoft.com/office/drawing/2014/main" id="{8E7F93EF-3747-4F11-B9FF-9C1D12326EA2}"/>
            </a:ext>
          </a:extLst>
        </xdr:cNvPr>
        <xdr:cNvSpPr/>
      </xdr:nvSpPr>
      <xdr:spPr>
        <a:xfrm>
          <a:off x="14651568" y="872595"/>
          <a:ext cx="4497916" cy="1974322"/>
        </a:xfrm>
        <a:prstGeom prst="rect">
          <a:avLst/>
        </a:prstGeom>
        <a:solidFill>
          <a:schemeClr val="accent6">
            <a:lumMod val="40000"/>
            <a:lumOff val="6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35</xdr:col>
      <xdr:colOff>372533</xdr:colOff>
      <xdr:row>4</xdr:row>
      <xdr:rowOff>152888</xdr:rowOff>
    </xdr:from>
    <xdr:to>
      <xdr:col>42</xdr:col>
      <xdr:colOff>582083</xdr:colOff>
      <xdr:row>14</xdr:row>
      <xdr:rowOff>12088</xdr:rowOff>
    </xdr:to>
    <xdr:sp macro="" textlink="">
      <xdr:nvSpPr>
        <xdr:cNvPr id="10" name="Rectangle 9">
          <a:extLst>
            <a:ext uri="{FF2B5EF4-FFF2-40B4-BE49-F238E27FC236}">
              <a16:creationId xmlns:a16="http://schemas.microsoft.com/office/drawing/2014/main" id="{5AA1E27A-B0F3-4D42-8566-86C9282221FF}"/>
            </a:ext>
          </a:extLst>
        </xdr:cNvPr>
        <xdr:cNvSpPr/>
      </xdr:nvSpPr>
      <xdr:spPr>
        <a:xfrm>
          <a:off x="21856700" y="861971"/>
          <a:ext cx="4506383" cy="1658367"/>
        </a:xfrm>
        <a:prstGeom prst="rect">
          <a:avLst/>
        </a:prstGeom>
        <a:solidFill>
          <a:schemeClr val="accent6">
            <a:lumMod val="40000"/>
            <a:lumOff val="6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28</xdr:col>
      <xdr:colOff>389305</xdr:colOff>
      <xdr:row>15</xdr:row>
      <xdr:rowOff>95253</xdr:rowOff>
    </xdr:from>
    <xdr:ext cx="789709" cy="124641"/>
    <xdr:sp macro="" textlink="">
      <xdr:nvSpPr>
        <xdr:cNvPr id="11" name="TextBox 10">
          <a:extLst>
            <a:ext uri="{FF2B5EF4-FFF2-40B4-BE49-F238E27FC236}">
              <a16:creationId xmlns:a16="http://schemas.microsoft.com/office/drawing/2014/main" id="{10D100F4-D068-41AD-97EB-A10E3AF9A3C6}"/>
            </a:ext>
          </a:extLst>
        </xdr:cNvPr>
        <xdr:cNvSpPr txBox="1"/>
      </xdr:nvSpPr>
      <xdr:spPr>
        <a:xfrm>
          <a:off x="17461280" y="2800353"/>
          <a:ext cx="789709" cy="1246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r>
            <a:rPr lang="en-US" sz="1000" b="1">
              <a:solidFill>
                <a:schemeClr val="accent6"/>
              </a:solidFill>
            </a:rPr>
            <a:t>Potential</a:t>
          </a:r>
          <a:r>
            <a:rPr lang="en-US" sz="1000" b="1" baseline="0">
              <a:solidFill>
                <a:schemeClr val="accent6"/>
              </a:solidFill>
            </a:rPr>
            <a:t> </a:t>
          </a:r>
          <a:r>
            <a:rPr lang="en-US" sz="1000" b="1">
              <a:solidFill>
                <a:schemeClr val="accent6"/>
              </a:solidFill>
            </a:rPr>
            <a:t>Min </a:t>
          </a:r>
        </a:p>
      </xdr:txBody>
    </xdr:sp>
    <xdr:clientData/>
  </xdr:oneCellAnchor>
  <xdr:oneCellAnchor>
    <xdr:from>
      <xdr:col>29</xdr:col>
      <xdr:colOff>37748</xdr:colOff>
      <xdr:row>17</xdr:row>
      <xdr:rowOff>164978</xdr:rowOff>
    </xdr:from>
    <xdr:ext cx="977021" cy="72990"/>
    <xdr:sp macro="" textlink="">
      <xdr:nvSpPr>
        <xdr:cNvPr id="12" name="TextBox 11">
          <a:extLst>
            <a:ext uri="{FF2B5EF4-FFF2-40B4-BE49-F238E27FC236}">
              <a16:creationId xmlns:a16="http://schemas.microsoft.com/office/drawing/2014/main" id="{513974EB-381C-40E2-B561-978BDA96AFF0}"/>
            </a:ext>
          </a:extLst>
        </xdr:cNvPr>
        <xdr:cNvSpPr txBox="1"/>
      </xdr:nvSpPr>
      <xdr:spPr>
        <a:xfrm>
          <a:off x="17838915" y="3212978"/>
          <a:ext cx="977021" cy="72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r>
            <a:rPr lang="en-US" sz="800" b="1"/>
            <a:t>Min for other Combis</a:t>
          </a:r>
        </a:p>
      </xdr:txBody>
    </xdr:sp>
    <xdr:clientData/>
  </xdr:oneCellAnchor>
  <xdr:oneCellAnchor>
    <xdr:from>
      <xdr:col>41</xdr:col>
      <xdr:colOff>249828</xdr:colOff>
      <xdr:row>13</xdr:row>
      <xdr:rowOff>71237</xdr:rowOff>
    </xdr:from>
    <xdr:ext cx="789709" cy="124641"/>
    <xdr:sp macro="" textlink="">
      <xdr:nvSpPr>
        <xdr:cNvPr id="13" name="TextBox 12">
          <a:extLst>
            <a:ext uri="{FF2B5EF4-FFF2-40B4-BE49-F238E27FC236}">
              <a16:creationId xmlns:a16="http://schemas.microsoft.com/office/drawing/2014/main" id="{5D805B23-0182-4714-A09A-B990F8A38812}"/>
            </a:ext>
          </a:extLst>
        </xdr:cNvPr>
        <xdr:cNvSpPr txBox="1"/>
      </xdr:nvSpPr>
      <xdr:spPr>
        <a:xfrm>
          <a:off x="25243428" y="2411212"/>
          <a:ext cx="789709" cy="1246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r>
            <a:rPr lang="en-US" sz="1000" b="1">
              <a:solidFill>
                <a:schemeClr val="accent6"/>
              </a:solidFill>
            </a:rPr>
            <a:t>Potential</a:t>
          </a:r>
          <a:r>
            <a:rPr lang="en-US" sz="1000" b="1" baseline="0">
              <a:solidFill>
                <a:schemeClr val="accent6"/>
              </a:solidFill>
            </a:rPr>
            <a:t> </a:t>
          </a:r>
          <a:r>
            <a:rPr lang="en-US" sz="1000" b="1">
              <a:solidFill>
                <a:schemeClr val="accent6"/>
              </a:solidFill>
            </a:rPr>
            <a:t>Min </a:t>
          </a:r>
        </a:p>
      </xdr:txBody>
    </xdr:sp>
    <xdr:clientData/>
  </xdr:oneCellAnchor>
  <xdr:oneCellAnchor>
    <xdr:from>
      <xdr:col>41</xdr:col>
      <xdr:colOff>96181</xdr:colOff>
      <xdr:row>16</xdr:row>
      <xdr:rowOff>36187</xdr:rowOff>
    </xdr:from>
    <xdr:ext cx="977021" cy="72990"/>
    <xdr:sp macro="" textlink="">
      <xdr:nvSpPr>
        <xdr:cNvPr id="14" name="TextBox 13">
          <a:extLst>
            <a:ext uri="{FF2B5EF4-FFF2-40B4-BE49-F238E27FC236}">
              <a16:creationId xmlns:a16="http://schemas.microsoft.com/office/drawing/2014/main" id="{C96B1334-E011-4572-9E46-C86438AC8314}"/>
            </a:ext>
          </a:extLst>
        </xdr:cNvPr>
        <xdr:cNvSpPr txBox="1"/>
      </xdr:nvSpPr>
      <xdr:spPr>
        <a:xfrm>
          <a:off x="25089781" y="2922262"/>
          <a:ext cx="977021" cy="72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r>
            <a:rPr lang="en-US" sz="800" b="1"/>
            <a:t>Min for other Combis</a:t>
          </a:r>
        </a:p>
      </xdr:txBody>
    </xdr:sp>
    <xdr:clientData/>
  </xdr:oneCellAnchor>
  <xdr:oneCellAnchor>
    <xdr:from>
      <xdr:col>7</xdr:col>
      <xdr:colOff>497306</xdr:colOff>
      <xdr:row>17</xdr:row>
      <xdr:rowOff>101726</xdr:rowOff>
    </xdr:from>
    <xdr:ext cx="454719" cy="114059"/>
    <xdr:sp macro="" textlink="">
      <xdr:nvSpPr>
        <xdr:cNvPr id="15" name="TextBox 14">
          <a:extLst>
            <a:ext uri="{FF2B5EF4-FFF2-40B4-BE49-F238E27FC236}">
              <a16:creationId xmlns:a16="http://schemas.microsoft.com/office/drawing/2014/main" id="{DD23CDC9-35A2-4B06-A455-F634DE7416CD}"/>
            </a:ext>
          </a:extLst>
        </xdr:cNvPr>
        <xdr:cNvSpPr txBox="1"/>
      </xdr:nvSpPr>
      <xdr:spPr>
        <a:xfrm rot="19925175">
          <a:off x="4794139" y="3149726"/>
          <a:ext cx="454719" cy="1140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r>
            <a:rPr lang="en-US" sz="800" b="1"/>
            <a:t>Max Idle</a:t>
          </a:r>
        </a:p>
      </xdr:txBody>
    </xdr:sp>
    <xdr:clientData/>
  </xdr:oneCellAnchor>
  <xdr:oneCellAnchor>
    <xdr:from>
      <xdr:col>17</xdr:col>
      <xdr:colOff>581972</xdr:colOff>
      <xdr:row>12</xdr:row>
      <xdr:rowOff>58334</xdr:rowOff>
    </xdr:from>
    <xdr:ext cx="454719" cy="114059"/>
    <xdr:sp macro="" textlink="">
      <xdr:nvSpPr>
        <xdr:cNvPr id="16" name="TextBox 15">
          <a:extLst>
            <a:ext uri="{FF2B5EF4-FFF2-40B4-BE49-F238E27FC236}">
              <a16:creationId xmlns:a16="http://schemas.microsoft.com/office/drawing/2014/main" id="{780BEF4A-29D6-420D-B095-A1F12CEF1347}"/>
            </a:ext>
          </a:extLst>
        </xdr:cNvPr>
        <xdr:cNvSpPr txBox="1"/>
      </xdr:nvSpPr>
      <xdr:spPr>
        <a:xfrm rot="19073291">
          <a:off x="11017139" y="2206751"/>
          <a:ext cx="454719" cy="1140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r>
            <a:rPr lang="en-US" sz="800" b="1"/>
            <a:t>Max Idle</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95250</xdr:colOff>
      <xdr:row>22</xdr:row>
      <xdr:rowOff>28574</xdr:rowOff>
    </xdr:to>
    <xdr:graphicFrame macro="">
      <xdr:nvGraphicFramePr>
        <xdr:cNvPr id="2" name="Chart 1">
          <a:extLst>
            <a:ext uri="{FF2B5EF4-FFF2-40B4-BE49-F238E27FC236}">
              <a16:creationId xmlns:a16="http://schemas.microsoft.com/office/drawing/2014/main" id="{6938DC47-8626-4E05-81A9-18CDA2BF7A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288925</xdr:colOff>
      <xdr:row>0</xdr:row>
      <xdr:rowOff>31750</xdr:rowOff>
    </xdr:from>
    <xdr:to>
      <xdr:col>20</xdr:col>
      <xdr:colOff>385763</xdr:colOff>
      <xdr:row>22</xdr:row>
      <xdr:rowOff>31750</xdr:rowOff>
    </xdr:to>
    <xdr:graphicFrame macro="">
      <xdr:nvGraphicFramePr>
        <xdr:cNvPr id="3" name="Chart 2">
          <a:extLst>
            <a:ext uri="{FF2B5EF4-FFF2-40B4-BE49-F238E27FC236}">
              <a16:creationId xmlns:a16="http://schemas.microsoft.com/office/drawing/2014/main" id="{ADB1FAB6-5066-49C3-B3B9-01E4D40DDA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571500</xdr:colOff>
      <xdr:row>15</xdr:row>
      <xdr:rowOff>4762</xdr:rowOff>
    </xdr:from>
    <xdr:to>
      <xdr:col>9</xdr:col>
      <xdr:colOff>520700</xdr:colOff>
      <xdr:row>15</xdr:row>
      <xdr:rowOff>11112</xdr:rowOff>
    </xdr:to>
    <xdr:cxnSp macro="">
      <xdr:nvCxnSpPr>
        <xdr:cNvPr id="4" name="Straight Connector 3">
          <a:extLst>
            <a:ext uri="{FF2B5EF4-FFF2-40B4-BE49-F238E27FC236}">
              <a16:creationId xmlns:a16="http://schemas.microsoft.com/office/drawing/2014/main" id="{4354A809-E094-4513-8679-CCD057185CF8}"/>
            </a:ext>
          </a:extLst>
        </xdr:cNvPr>
        <xdr:cNvCxnSpPr/>
      </xdr:nvCxnSpPr>
      <xdr:spPr>
        <a:xfrm>
          <a:off x="571500" y="2722562"/>
          <a:ext cx="5438775" cy="0"/>
        </a:xfrm>
        <a:prstGeom prst="line">
          <a:avLst/>
        </a:prstGeom>
        <a:ln w="28575">
          <a:solidFill>
            <a:schemeClr val="tx1">
              <a:lumMod val="75000"/>
              <a:lumOff val="2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99331</xdr:colOff>
      <xdr:row>12</xdr:row>
      <xdr:rowOff>45357</xdr:rowOff>
    </xdr:from>
    <xdr:to>
      <xdr:col>20</xdr:col>
      <xdr:colOff>48532</xdr:colOff>
      <xdr:row>12</xdr:row>
      <xdr:rowOff>58057</xdr:rowOff>
    </xdr:to>
    <xdr:cxnSp macro="">
      <xdr:nvCxnSpPr>
        <xdr:cNvPr id="5" name="Straight Connector 4">
          <a:extLst>
            <a:ext uri="{FF2B5EF4-FFF2-40B4-BE49-F238E27FC236}">
              <a16:creationId xmlns:a16="http://schemas.microsoft.com/office/drawing/2014/main" id="{EA9E9F1E-49FD-4111-860A-6F4F4D998342}"/>
            </a:ext>
          </a:extLst>
        </xdr:cNvPr>
        <xdr:cNvCxnSpPr/>
      </xdr:nvCxnSpPr>
      <xdr:spPr>
        <a:xfrm>
          <a:off x="6808106" y="2220232"/>
          <a:ext cx="5429251" cy="9525"/>
        </a:xfrm>
        <a:prstGeom prst="line">
          <a:avLst/>
        </a:prstGeom>
        <a:ln w="28575">
          <a:solidFill>
            <a:schemeClr val="tx1">
              <a:lumMod val="75000"/>
              <a:lumOff val="25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563563</xdr:colOff>
      <xdr:row>16</xdr:row>
      <xdr:rowOff>176212</xdr:rowOff>
    </xdr:from>
    <xdr:to>
      <xdr:col>9</xdr:col>
      <xdr:colOff>515938</xdr:colOff>
      <xdr:row>17</xdr:row>
      <xdr:rowOff>3174</xdr:rowOff>
    </xdr:to>
    <xdr:cxnSp macro="">
      <xdr:nvCxnSpPr>
        <xdr:cNvPr id="6" name="Straight Connector 5">
          <a:extLst>
            <a:ext uri="{FF2B5EF4-FFF2-40B4-BE49-F238E27FC236}">
              <a16:creationId xmlns:a16="http://schemas.microsoft.com/office/drawing/2014/main" id="{9B58A54A-574D-4B80-B290-967DBA233E7E}"/>
            </a:ext>
          </a:extLst>
        </xdr:cNvPr>
        <xdr:cNvCxnSpPr/>
      </xdr:nvCxnSpPr>
      <xdr:spPr>
        <a:xfrm>
          <a:off x="560388" y="3074987"/>
          <a:ext cx="5441950" cy="4762"/>
        </a:xfrm>
        <a:prstGeom prst="line">
          <a:avLst/>
        </a:prstGeom>
        <a:ln w="28575">
          <a:solidFill>
            <a:schemeClr val="accent1">
              <a:lumMod val="40000"/>
              <a:lumOff val="6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88446</xdr:colOff>
      <xdr:row>15</xdr:row>
      <xdr:rowOff>107041</xdr:rowOff>
    </xdr:from>
    <xdr:to>
      <xdr:col>20</xdr:col>
      <xdr:colOff>40821</xdr:colOff>
      <xdr:row>15</xdr:row>
      <xdr:rowOff>116566</xdr:rowOff>
    </xdr:to>
    <xdr:cxnSp macro="">
      <xdr:nvCxnSpPr>
        <xdr:cNvPr id="7" name="Straight Connector 6">
          <a:extLst>
            <a:ext uri="{FF2B5EF4-FFF2-40B4-BE49-F238E27FC236}">
              <a16:creationId xmlns:a16="http://schemas.microsoft.com/office/drawing/2014/main" id="{75F8FB3D-F72A-463E-ACBD-15219AACB1B1}"/>
            </a:ext>
          </a:extLst>
        </xdr:cNvPr>
        <xdr:cNvCxnSpPr/>
      </xdr:nvCxnSpPr>
      <xdr:spPr>
        <a:xfrm>
          <a:off x="6790871" y="2818491"/>
          <a:ext cx="5441950" cy="12700"/>
        </a:xfrm>
        <a:prstGeom prst="line">
          <a:avLst/>
        </a:prstGeom>
        <a:ln w="28575">
          <a:solidFill>
            <a:schemeClr val="accent1">
              <a:lumMod val="40000"/>
              <a:lumOff val="6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39832</xdr:colOff>
      <xdr:row>0</xdr:row>
      <xdr:rowOff>21648</xdr:rowOff>
    </xdr:from>
    <xdr:to>
      <xdr:col>43</xdr:col>
      <xdr:colOff>553893</xdr:colOff>
      <xdr:row>23</xdr:row>
      <xdr:rowOff>114782</xdr:rowOff>
    </xdr:to>
    <xdr:sp macro="" textlink="">
      <xdr:nvSpPr>
        <xdr:cNvPr id="2" name="Rectangle 4">
          <a:extLst>
            <a:ext uri="{FF2B5EF4-FFF2-40B4-BE49-F238E27FC236}">
              <a16:creationId xmlns:a16="http://schemas.microsoft.com/office/drawing/2014/main" id="{54338900-78C7-49A0-A4C6-579BACF07F76}"/>
            </a:ext>
          </a:extLst>
        </xdr:cNvPr>
        <xdr:cNvSpPr/>
      </xdr:nvSpPr>
      <xdr:spPr>
        <a:xfrm>
          <a:off x="39832" y="21648"/>
          <a:ext cx="26577925" cy="4275475"/>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0</xdr:colOff>
      <xdr:row>0</xdr:row>
      <xdr:rowOff>0</xdr:rowOff>
    </xdr:from>
    <xdr:to>
      <xdr:col>10</xdr:col>
      <xdr:colOff>152400</xdr:colOff>
      <xdr:row>23</xdr:row>
      <xdr:rowOff>158750</xdr:rowOff>
    </xdr:to>
    <xdr:graphicFrame macro="">
      <xdr:nvGraphicFramePr>
        <xdr:cNvPr id="3" name="Chart 2">
          <a:extLst>
            <a:ext uri="{FF2B5EF4-FFF2-40B4-BE49-F238E27FC236}">
              <a16:creationId xmlns:a16="http://schemas.microsoft.com/office/drawing/2014/main" id="{D5406CA7-E483-4E29-B3A4-65E417094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1</xdr:col>
      <xdr:colOff>29025</xdr:colOff>
      <xdr:row>15</xdr:row>
      <xdr:rowOff>170577</xdr:rowOff>
    </xdr:from>
    <xdr:ext cx="933195" cy="125227"/>
    <xdr:sp macro="" textlink="">
      <xdr:nvSpPr>
        <xdr:cNvPr id="4" name="TextBox 3">
          <a:extLst>
            <a:ext uri="{FF2B5EF4-FFF2-40B4-BE49-F238E27FC236}">
              <a16:creationId xmlns:a16="http://schemas.microsoft.com/office/drawing/2014/main" id="{BC161F43-DC56-456D-8948-FDB39C8FAD2F}"/>
            </a:ext>
          </a:extLst>
        </xdr:cNvPr>
        <xdr:cNvSpPr txBox="1"/>
      </xdr:nvSpPr>
      <xdr:spPr>
        <a:xfrm rot="21253932">
          <a:off x="635450" y="2885202"/>
          <a:ext cx="933195" cy="12522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r>
            <a:rPr lang="en-US" sz="800" b="1"/>
            <a:t>Max for other Combis</a:t>
          </a:r>
        </a:p>
      </xdr:txBody>
    </xdr:sp>
    <xdr:clientData/>
  </xdr:oneCellAnchor>
  <xdr:oneCellAnchor>
    <xdr:from>
      <xdr:col>1</xdr:col>
      <xdr:colOff>65534</xdr:colOff>
      <xdr:row>12</xdr:row>
      <xdr:rowOff>153745</xdr:rowOff>
    </xdr:from>
    <xdr:ext cx="789709" cy="124641"/>
    <xdr:sp macro="" textlink="">
      <xdr:nvSpPr>
        <xdr:cNvPr id="5" name="TextBox 4">
          <a:extLst>
            <a:ext uri="{FF2B5EF4-FFF2-40B4-BE49-F238E27FC236}">
              <a16:creationId xmlns:a16="http://schemas.microsoft.com/office/drawing/2014/main" id="{E9954BD9-5A2F-4CD2-B6C0-EF081217A126}"/>
            </a:ext>
          </a:extLst>
        </xdr:cNvPr>
        <xdr:cNvSpPr txBox="1"/>
      </xdr:nvSpPr>
      <xdr:spPr>
        <a:xfrm rot="20807565">
          <a:off x="671670" y="2335836"/>
          <a:ext cx="789709" cy="1246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r>
            <a:rPr lang="en-US" sz="1000" b="1">
              <a:solidFill>
                <a:schemeClr val="accent6"/>
              </a:solidFill>
            </a:rPr>
            <a:t>Potential</a:t>
          </a:r>
          <a:r>
            <a:rPr lang="en-US" sz="1000" b="1" baseline="0">
              <a:solidFill>
                <a:schemeClr val="accent6"/>
              </a:solidFill>
            </a:rPr>
            <a:t> </a:t>
          </a:r>
          <a:r>
            <a:rPr lang="en-US" sz="1000" b="1">
              <a:solidFill>
                <a:schemeClr val="accent6"/>
              </a:solidFill>
            </a:rPr>
            <a:t>Max </a:t>
          </a:r>
        </a:p>
      </xdr:txBody>
    </xdr:sp>
    <xdr:clientData/>
  </xdr:oneCellAnchor>
  <xdr:twoCellAnchor>
    <xdr:from>
      <xdr:col>11</xdr:col>
      <xdr:colOff>17318</xdr:colOff>
      <xdr:row>0</xdr:row>
      <xdr:rowOff>0</xdr:rowOff>
    </xdr:from>
    <xdr:to>
      <xdr:col>21</xdr:col>
      <xdr:colOff>169718</xdr:colOff>
      <xdr:row>23</xdr:row>
      <xdr:rowOff>158750</xdr:rowOff>
    </xdr:to>
    <xdr:graphicFrame macro="">
      <xdr:nvGraphicFramePr>
        <xdr:cNvPr id="6" name="Chart 5">
          <a:extLst>
            <a:ext uri="{FF2B5EF4-FFF2-40B4-BE49-F238E27FC236}">
              <a16:creationId xmlns:a16="http://schemas.microsoft.com/office/drawing/2014/main" id="{9AEFD39C-DCC6-417B-94BF-EADA6DFA5E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12</xdr:col>
      <xdr:colOff>32985</xdr:colOff>
      <xdr:row>13</xdr:row>
      <xdr:rowOff>106572</xdr:rowOff>
    </xdr:from>
    <xdr:ext cx="977021" cy="72990"/>
    <xdr:sp macro="" textlink="">
      <xdr:nvSpPr>
        <xdr:cNvPr id="7" name="TextBox 6">
          <a:extLst>
            <a:ext uri="{FF2B5EF4-FFF2-40B4-BE49-F238E27FC236}">
              <a16:creationId xmlns:a16="http://schemas.microsoft.com/office/drawing/2014/main" id="{EDBB152F-5FAB-4C0B-B956-E2F2331913AA}"/>
            </a:ext>
          </a:extLst>
        </xdr:cNvPr>
        <xdr:cNvSpPr txBox="1"/>
      </xdr:nvSpPr>
      <xdr:spPr>
        <a:xfrm rot="21197569">
          <a:off x="7345010" y="2456072"/>
          <a:ext cx="977021" cy="72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r>
            <a:rPr lang="en-US" sz="800" b="1"/>
            <a:t>Max for other Combis</a:t>
          </a:r>
        </a:p>
      </xdr:txBody>
    </xdr:sp>
    <xdr:clientData/>
  </xdr:oneCellAnchor>
  <xdr:oneCellAnchor>
    <xdr:from>
      <xdr:col>12</xdr:col>
      <xdr:colOff>189982</xdr:colOff>
      <xdr:row>11</xdr:row>
      <xdr:rowOff>105668</xdr:rowOff>
    </xdr:from>
    <xdr:ext cx="744282" cy="122879"/>
    <xdr:sp macro="" textlink="">
      <xdr:nvSpPr>
        <xdr:cNvPr id="8" name="TextBox 7">
          <a:extLst>
            <a:ext uri="{FF2B5EF4-FFF2-40B4-BE49-F238E27FC236}">
              <a16:creationId xmlns:a16="http://schemas.microsoft.com/office/drawing/2014/main" id="{1E23A731-7D55-4A37-94CD-A4670C6A0402}"/>
            </a:ext>
          </a:extLst>
        </xdr:cNvPr>
        <xdr:cNvSpPr txBox="1"/>
      </xdr:nvSpPr>
      <xdr:spPr>
        <a:xfrm rot="21196719">
          <a:off x="7463618" y="2105918"/>
          <a:ext cx="744282" cy="1228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r>
            <a:rPr lang="en-US" sz="1000" b="1">
              <a:solidFill>
                <a:schemeClr val="accent6"/>
              </a:solidFill>
            </a:rPr>
            <a:t>Potential</a:t>
          </a:r>
          <a:r>
            <a:rPr lang="en-US" sz="1000" b="1" baseline="0">
              <a:solidFill>
                <a:schemeClr val="accent6"/>
              </a:solidFill>
            </a:rPr>
            <a:t> </a:t>
          </a:r>
          <a:r>
            <a:rPr lang="en-US" sz="1000" b="1">
              <a:solidFill>
                <a:schemeClr val="accent6"/>
              </a:solidFill>
            </a:rPr>
            <a:t>Max </a:t>
          </a:r>
        </a:p>
      </xdr:txBody>
    </xdr:sp>
    <xdr:clientData/>
  </xdr:oneCellAnchor>
  <xdr:twoCellAnchor>
    <xdr:from>
      <xdr:col>21</xdr:col>
      <xdr:colOff>552450</xdr:colOff>
      <xdr:row>0</xdr:row>
      <xdr:rowOff>63046</xdr:rowOff>
    </xdr:from>
    <xdr:to>
      <xdr:col>32</xdr:col>
      <xdr:colOff>95250</xdr:colOff>
      <xdr:row>25</xdr:row>
      <xdr:rowOff>37646</xdr:rowOff>
    </xdr:to>
    <xdr:graphicFrame macro="">
      <xdr:nvGraphicFramePr>
        <xdr:cNvPr id="9" name="Chart 21">
          <a:extLst>
            <a:ext uri="{FF2B5EF4-FFF2-40B4-BE49-F238E27FC236}">
              <a16:creationId xmlns:a16="http://schemas.microsoft.com/office/drawing/2014/main" id="{B670598C-1D54-4C53-B8E1-FDD12D29C8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33</xdr:col>
      <xdr:colOff>0</xdr:colOff>
      <xdr:row>0</xdr:row>
      <xdr:rowOff>0</xdr:rowOff>
    </xdr:from>
    <xdr:to>
      <xdr:col>43</xdr:col>
      <xdr:colOff>152400</xdr:colOff>
      <xdr:row>23</xdr:row>
      <xdr:rowOff>158750</xdr:rowOff>
    </xdr:to>
    <xdr:graphicFrame macro="">
      <xdr:nvGraphicFramePr>
        <xdr:cNvPr id="10" name="Chart 9">
          <a:extLst>
            <a:ext uri="{FF2B5EF4-FFF2-40B4-BE49-F238E27FC236}">
              <a16:creationId xmlns:a16="http://schemas.microsoft.com/office/drawing/2014/main" id="{7DD56DDC-0F9E-4B0C-AF61-1A8E8E8C27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28</xdr:col>
      <xdr:colOff>535733</xdr:colOff>
      <xdr:row>10</xdr:row>
      <xdr:rowOff>88179</xdr:rowOff>
    </xdr:from>
    <xdr:ext cx="739833" cy="83843"/>
    <xdr:sp macro="" textlink="">
      <xdr:nvSpPr>
        <xdr:cNvPr id="11" name="TextBox 10">
          <a:extLst>
            <a:ext uri="{FF2B5EF4-FFF2-40B4-BE49-F238E27FC236}">
              <a16:creationId xmlns:a16="http://schemas.microsoft.com/office/drawing/2014/main" id="{B8EBCCBE-4DB6-4F24-8FED-0A3EB1FB20A5}"/>
            </a:ext>
          </a:extLst>
        </xdr:cNvPr>
        <xdr:cNvSpPr txBox="1"/>
      </xdr:nvSpPr>
      <xdr:spPr>
        <a:xfrm>
          <a:off x="17604533" y="1894754"/>
          <a:ext cx="739833" cy="838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r>
            <a:rPr lang="en-US" sz="1000" b="1">
              <a:solidFill>
                <a:schemeClr val="accent6"/>
              </a:solidFill>
            </a:rPr>
            <a:t>Potential</a:t>
          </a:r>
          <a:r>
            <a:rPr lang="en-US" sz="1000" b="1" baseline="0">
              <a:solidFill>
                <a:schemeClr val="accent6"/>
              </a:solidFill>
            </a:rPr>
            <a:t> </a:t>
          </a:r>
          <a:r>
            <a:rPr lang="en-US" sz="1000" b="1">
              <a:solidFill>
                <a:schemeClr val="accent6"/>
              </a:solidFill>
            </a:rPr>
            <a:t>Min</a:t>
          </a:r>
        </a:p>
      </xdr:txBody>
    </xdr:sp>
    <xdr:clientData/>
  </xdr:oneCellAnchor>
  <xdr:oneCellAnchor>
    <xdr:from>
      <xdr:col>39</xdr:col>
      <xdr:colOff>605357</xdr:colOff>
      <xdr:row>12</xdr:row>
      <xdr:rowOff>108479</xdr:rowOff>
    </xdr:from>
    <xdr:ext cx="761482" cy="95251"/>
    <xdr:sp macro="" textlink="">
      <xdr:nvSpPr>
        <xdr:cNvPr id="12" name="TextBox 11">
          <a:extLst>
            <a:ext uri="{FF2B5EF4-FFF2-40B4-BE49-F238E27FC236}">
              <a16:creationId xmlns:a16="http://schemas.microsoft.com/office/drawing/2014/main" id="{F646CACF-3F3C-421D-90C1-8BC79FBF0CEC}"/>
            </a:ext>
          </a:extLst>
        </xdr:cNvPr>
        <xdr:cNvSpPr txBox="1"/>
      </xdr:nvSpPr>
      <xdr:spPr>
        <a:xfrm>
          <a:off x="24376582" y="2277004"/>
          <a:ext cx="761482" cy="952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r>
            <a:rPr lang="en-US" sz="1000" b="1">
              <a:solidFill>
                <a:schemeClr val="accent6"/>
              </a:solidFill>
            </a:rPr>
            <a:t>Potential</a:t>
          </a:r>
          <a:r>
            <a:rPr lang="en-US" sz="1000" b="1" baseline="0">
              <a:solidFill>
                <a:schemeClr val="accent6"/>
              </a:solidFill>
            </a:rPr>
            <a:t> </a:t>
          </a:r>
          <a:r>
            <a:rPr lang="en-US" sz="1000" b="1">
              <a:solidFill>
                <a:schemeClr val="accent6"/>
              </a:solidFill>
            </a:rPr>
            <a:t>Min </a:t>
          </a:r>
        </a:p>
      </xdr:txBody>
    </xdr:sp>
    <xdr:clientData/>
  </xdr:oneCellAnchor>
  <xdr:oneCellAnchor>
    <xdr:from>
      <xdr:col>39</xdr:col>
      <xdr:colOff>368194</xdr:colOff>
      <xdr:row>8</xdr:row>
      <xdr:rowOff>110404</xdr:rowOff>
    </xdr:from>
    <xdr:ext cx="903249" cy="94179"/>
    <xdr:sp macro="" textlink="">
      <xdr:nvSpPr>
        <xdr:cNvPr id="13" name="TextBox 12">
          <a:extLst>
            <a:ext uri="{FF2B5EF4-FFF2-40B4-BE49-F238E27FC236}">
              <a16:creationId xmlns:a16="http://schemas.microsoft.com/office/drawing/2014/main" id="{7B7BAF9C-4CAB-4785-888D-EE9597AC83B0}"/>
            </a:ext>
          </a:extLst>
        </xdr:cNvPr>
        <xdr:cNvSpPr txBox="1"/>
      </xdr:nvSpPr>
      <xdr:spPr>
        <a:xfrm>
          <a:off x="24145769" y="1555029"/>
          <a:ext cx="903249" cy="9417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noAutofit/>
        </a:bodyPr>
        <a:lstStyle/>
        <a:p>
          <a:r>
            <a:rPr lang="en-US" sz="800" b="1"/>
            <a:t>Min for other Combis</a:t>
          </a:r>
        </a:p>
      </xdr:txBody>
    </xdr:sp>
    <xdr:clientData/>
  </xdr:oneCellAnchor>
  <xdr:twoCellAnchor>
    <xdr:from>
      <xdr:col>33</xdr:col>
      <xdr:colOff>591991</xdr:colOff>
      <xdr:row>3</xdr:row>
      <xdr:rowOff>46469</xdr:rowOff>
    </xdr:from>
    <xdr:to>
      <xdr:col>41</xdr:col>
      <xdr:colOff>143700</xdr:colOff>
      <xdr:row>13</xdr:row>
      <xdr:rowOff>43295</xdr:rowOff>
    </xdr:to>
    <xdr:sp macro="" textlink="">
      <xdr:nvSpPr>
        <xdr:cNvPr id="16" name="Rectangle 15">
          <a:extLst>
            <a:ext uri="{FF2B5EF4-FFF2-40B4-BE49-F238E27FC236}">
              <a16:creationId xmlns:a16="http://schemas.microsoft.com/office/drawing/2014/main" id="{524FF27E-2A1E-4A0B-AFAD-F40A6A21070C}"/>
            </a:ext>
          </a:extLst>
        </xdr:cNvPr>
        <xdr:cNvSpPr/>
      </xdr:nvSpPr>
      <xdr:spPr>
        <a:xfrm>
          <a:off x="20594491" y="591992"/>
          <a:ext cx="4400800" cy="1815235"/>
        </a:xfrm>
        <a:prstGeom prst="rect">
          <a:avLst/>
        </a:prstGeom>
        <a:solidFill>
          <a:srgbClr val="70AD47">
            <a:lumMod val="40000"/>
            <a:lumOff val="60000"/>
            <a:alpha val="30000"/>
          </a:srgbClr>
        </a:solidFill>
        <a:ln w="12700" cap="flat" cmpd="sng" algn="ctr">
          <a:noFill/>
          <a:prstDash val="solid"/>
          <a:miter lim="800000"/>
        </a:ln>
        <a:effectLst/>
      </xdr:spPr>
      <xdr:style>
        <a:lnRef idx="2">
          <a:schemeClr val="accent1">
            <a:shade val="50000"/>
          </a:schemeClr>
        </a:lnRef>
        <a:fillRef idx="1">
          <a:schemeClr val="accent1"/>
        </a:fillRef>
        <a:effectRef idx="0">
          <a:schemeClr val="accent1"/>
        </a:effectRef>
        <a:fontRef idx="minor">
          <a:schemeClr val="lt1"/>
        </a:fontRef>
      </xdr:style>
      <xdr:txBody>
        <a:bodyPr wrap="square"/>
        <a:lstStyle>
          <a:lvl1pPr marL="0" indent="0">
            <a:defRPr sz="1100">
              <a:solidFill>
                <a:sysClr val="window" lastClr="FFFFFF"/>
              </a:solidFill>
              <a:latin typeface="Calibri" panose="020F0502020204030204"/>
            </a:defRPr>
          </a:lvl1pPr>
          <a:lvl2pPr marL="457200" indent="0">
            <a:defRPr sz="1100">
              <a:solidFill>
                <a:sysClr val="window" lastClr="FFFFFF"/>
              </a:solidFill>
              <a:latin typeface="Calibri" panose="020F0502020204030204"/>
            </a:defRPr>
          </a:lvl2pPr>
          <a:lvl3pPr marL="914400" indent="0">
            <a:defRPr sz="1100">
              <a:solidFill>
                <a:sysClr val="window" lastClr="FFFFFF"/>
              </a:solidFill>
              <a:latin typeface="Calibri" panose="020F0502020204030204"/>
            </a:defRPr>
          </a:lvl3pPr>
          <a:lvl4pPr marL="1371600" indent="0">
            <a:defRPr sz="1100">
              <a:solidFill>
                <a:sysClr val="window" lastClr="FFFFFF"/>
              </a:solidFill>
              <a:latin typeface="Calibri" panose="020F0502020204030204"/>
            </a:defRPr>
          </a:lvl4pPr>
          <a:lvl5pPr marL="1828800" indent="0">
            <a:defRPr sz="1100">
              <a:solidFill>
                <a:sysClr val="window" lastClr="FFFFFF"/>
              </a:solidFill>
              <a:latin typeface="Calibri" panose="020F0502020204030204"/>
            </a:defRPr>
          </a:lvl5pPr>
          <a:lvl6pPr marL="2286000" indent="0">
            <a:defRPr sz="1100">
              <a:solidFill>
                <a:sysClr val="window" lastClr="FFFFFF"/>
              </a:solidFill>
              <a:latin typeface="Calibri" panose="020F0502020204030204"/>
            </a:defRPr>
          </a:lvl6pPr>
          <a:lvl7pPr marL="2743200" indent="0">
            <a:defRPr sz="1100">
              <a:solidFill>
                <a:sysClr val="window" lastClr="FFFFFF"/>
              </a:solidFill>
              <a:latin typeface="Calibri" panose="020F0502020204030204"/>
            </a:defRPr>
          </a:lvl7pPr>
          <a:lvl8pPr marL="3200400" indent="0">
            <a:defRPr sz="1100">
              <a:solidFill>
                <a:sysClr val="window" lastClr="FFFFFF"/>
              </a:solidFill>
              <a:latin typeface="Calibri" panose="020F0502020204030204"/>
            </a:defRPr>
          </a:lvl8pPr>
          <a:lvl9pPr marL="3657600" indent="0">
            <a:defRPr sz="1100">
              <a:solidFill>
                <a:sysClr val="window" lastClr="FFFFFF"/>
              </a:solidFill>
              <a:latin typeface="Calibri" panose="020F0502020204030204"/>
            </a:defRPr>
          </a:lvl9pPr>
        </a:lstStyle>
        <a:p>
          <a:endParaRPr lang="en-US"/>
        </a:p>
      </xdr:txBody>
    </xdr:sp>
    <xdr:clientData/>
  </xdr:twoCellAnchor>
  <xdr:twoCellAnchor>
    <xdr:from>
      <xdr:col>22</xdr:col>
      <xdr:colOff>560843</xdr:colOff>
      <xdr:row>3</xdr:row>
      <xdr:rowOff>113241</xdr:rowOff>
    </xdr:from>
    <xdr:to>
      <xdr:col>30</xdr:col>
      <xdr:colOff>75521</xdr:colOff>
      <xdr:row>11</xdr:row>
      <xdr:rowOff>95399</xdr:rowOff>
    </xdr:to>
    <xdr:sp macro="" textlink="">
      <xdr:nvSpPr>
        <xdr:cNvPr id="17" name="Rectangle 16">
          <a:extLst>
            <a:ext uri="{FF2B5EF4-FFF2-40B4-BE49-F238E27FC236}">
              <a16:creationId xmlns:a16="http://schemas.microsoft.com/office/drawing/2014/main" id="{491AA12B-D11C-4102-8C60-45FF83470EDF}"/>
            </a:ext>
          </a:extLst>
        </xdr:cNvPr>
        <xdr:cNvSpPr/>
      </xdr:nvSpPr>
      <xdr:spPr>
        <a:xfrm>
          <a:off x="14065176" y="652991"/>
          <a:ext cx="4425345" cy="1421491"/>
        </a:xfrm>
        <a:prstGeom prst="rect">
          <a:avLst/>
        </a:prstGeom>
        <a:solidFill>
          <a:schemeClr val="accent6">
            <a:lumMod val="40000"/>
            <a:lumOff val="60000"/>
            <a:alpha val="3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oneCellAnchor>
    <xdr:from>
      <xdr:col>22</xdr:col>
      <xdr:colOff>564132</xdr:colOff>
      <xdr:row>9</xdr:row>
      <xdr:rowOff>21002</xdr:rowOff>
    </xdr:from>
    <xdr:ext cx="931294" cy="125227"/>
    <xdr:sp macro="" textlink="">
      <xdr:nvSpPr>
        <xdr:cNvPr id="18" name="TextBox 17">
          <a:extLst>
            <a:ext uri="{FF2B5EF4-FFF2-40B4-BE49-F238E27FC236}">
              <a16:creationId xmlns:a16="http://schemas.microsoft.com/office/drawing/2014/main" id="{BF715D2A-D4B0-4757-9D4C-AEE9FDA06998}"/>
            </a:ext>
          </a:extLst>
        </xdr:cNvPr>
        <xdr:cNvSpPr txBox="1"/>
      </xdr:nvSpPr>
      <xdr:spPr>
        <a:xfrm>
          <a:off x="13972157" y="1649777"/>
          <a:ext cx="931294" cy="1252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spAutoFit/>
        </a:bodyPr>
        <a:lstStyle/>
        <a:p>
          <a:r>
            <a:rPr lang="en-US" sz="800" b="1"/>
            <a:t>Min for other Combis</a:t>
          </a: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409101</xdr:colOff>
      <xdr:row>37</xdr:row>
      <xdr:rowOff>134718</xdr:rowOff>
    </xdr:to>
    <xdr:pic>
      <xdr:nvPicPr>
        <xdr:cNvPr id="6" name="Picture 5">
          <a:extLst>
            <a:ext uri="{FF2B5EF4-FFF2-40B4-BE49-F238E27FC236}">
              <a16:creationId xmlns:a16="http://schemas.microsoft.com/office/drawing/2014/main" id="{950EA9E6-C5C4-49C5-AB2D-DFFC3B6D8E1C}"/>
            </a:ext>
          </a:extLst>
        </xdr:cNvPr>
        <xdr:cNvPicPr>
          <a:picLocks noChangeAspect="1"/>
        </xdr:cNvPicPr>
      </xdr:nvPicPr>
      <xdr:blipFill>
        <a:blip xmlns:r="http://schemas.openxmlformats.org/officeDocument/2006/relationships" r:embed="rId1"/>
        <a:stretch>
          <a:fillRect/>
        </a:stretch>
      </xdr:blipFill>
      <xdr:spPr>
        <a:xfrm>
          <a:off x="0" y="190500"/>
          <a:ext cx="7724301" cy="6992718"/>
        </a:xfrm>
        <a:prstGeom prst="rect">
          <a:avLst/>
        </a:prstGeom>
      </xdr:spPr>
    </xdr:pic>
    <xdr:clientData/>
  </xdr:twoCellAnchor>
  <xdr:twoCellAnchor editAs="oneCell">
    <xdr:from>
      <xdr:col>12</xdr:col>
      <xdr:colOff>409575</xdr:colOff>
      <xdr:row>1</xdr:row>
      <xdr:rowOff>19050</xdr:rowOff>
    </xdr:from>
    <xdr:to>
      <xdr:col>25</xdr:col>
      <xdr:colOff>202980</xdr:colOff>
      <xdr:row>37</xdr:row>
      <xdr:rowOff>147672</xdr:rowOff>
    </xdr:to>
    <xdr:pic>
      <xdr:nvPicPr>
        <xdr:cNvPr id="7" name="Picture 6">
          <a:extLst>
            <a:ext uri="{FF2B5EF4-FFF2-40B4-BE49-F238E27FC236}">
              <a16:creationId xmlns:a16="http://schemas.microsoft.com/office/drawing/2014/main" id="{9C6B8151-1717-4AF6-978D-068B4173018D}"/>
            </a:ext>
          </a:extLst>
        </xdr:cNvPr>
        <xdr:cNvPicPr>
          <a:picLocks noChangeAspect="1"/>
        </xdr:cNvPicPr>
      </xdr:nvPicPr>
      <xdr:blipFill>
        <a:blip xmlns:r="http://schemas.openxmlformats.org/officeDocument/2006/relationships" r:embed="rId2"/>
        <a:stretch>
          <a:fillRect/>
        </a:stretch>
      </xdr:blipFill>
      <xdr:spPr>
        <a:xfrm>
          <a:off x="7724775" y="209550"/>
          <a:ext cx="7718205" cy="6986622"/>
        </a:xfrm>
        <a:prstGeom prst="rect">
          <a:avLst/>
        </a:prstGeom>
      </xdr:spPr>
    </xdr:pic>
    <xdr:clientData/>
  </xdr:twoCellAnchor>
  <xdr:twoCellAnchor editAs="oneCell">
    <xdr:from>
      <xdr:col>0</xdr:col>
      <xdr:colOff>0</xdr:colOff>
      <xdr:row>37</xdr:row>
      <xdr:rowOff>95250</xdr:rowOff>
    </xdr:from>
    <xdr:to>
      <xdr:col>12</xdr:col>
      <xdr:colOff>384715</xdr:colOff>
      <xdr:row>74</xdr:row>
      <xdr:rowOff>45565</xdr:rowOff>
    </xdr:to>
    <xdr:pic>
      <xdr:nvPicPr>
        <xdr:cNvPr id="8" name="Picture 7">
          <a:extLst>
            <a:ext uri="{FF2B5EF4-FFF2-40B4-BE49-F238E27FC236}">
              <a16:creationId xmlns:a16="http://schemas.microsoft.com/office/drawing/2014/main" id="{FD128706-139A-463D-A5B9-7AC7EB51499B}"/>
            </a:ext>
          </a:extLst>
        </xdr:cNvPr>
        <xdr:cNvPicPr>
          <a:picLocks noChangeAspect="1"/>
        </xdr:cNvPicPr>
      </xdr:nvPicPr>
      <xdr:blipFill>
        <a:blip xmlns:r="http://schemas.openxmlformats.org/officeDocument/2006/relationships" r:embed="rId3"/>
        <a:stretch>
          <a:fillRect/>
        </a:stretch>
      </xdr:blipFill>
      <xdr:spPr>
        <a:xfrm>
          <a:off x="0" y="7143750"/>
          <a:ext cx="7699915" cy="6998815"/>
        </a:xfrm>
        <a:prstGeom prst="rect">
          <a:avLst/>
        </a:prstGeom>
      </xdr:spPr>
    </xdr:pic>
    <xdr:clientData/>
  </xdr:twoCellAnchor>
  <xdr:twoCellAnchor>
    <xdr:from>
      <xdr:col>12</xdr:col>
      <xdr:colOff>314325</xdr:colOff>
      <xdr:row>37</xdr:row>
      <xdr:rowOff>85725</xdr:rowOff>
    </xdr:from>
    <xdr:to>
      <xdr:col>25</xdr:col>
      <xdr:colOff>99060</xdr:colOff>
      <xdr:row>74</xdr:row>
      <xdr:rowOff>34925</xdr:rowOff>
    </xdr:to>
    <xdr:graphicFrame macro="">
      <xdr:nvGraphicFramePr>
        <xdr:cNvPr id="10" name="Chart 9">
          <a:extLst>
            <a:ext uri="{FF2B5EF4-FFF2-40B4-BE49-F238E27FC236}">
              <a16:creationId xmlns:a16="http://schemas.microsoft.com/office/drawing/2014/main" id="{D76D09B8-BA93-41EE-AC01-497C279040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26</xdr:col>
      <xdr:colOff>0</xdr:colOff>
      <xdr:row>8</xdr:row>
      <xdr:rowOff>0</xdr:rowOff>
    </xdr:from>
    <xdr:to>
      <xdr:col>30</xdr:col>
      <xdr:colOff>512320</xdr:colOff>
      <xdr:row>22</xdr:row>
      <xdr:rowOff>173982</xdr:rowOff>
    </xdr:to>
    <xdr:pic>
      <xdr:nvPicPr>
        <xdr:cNvPr id="14" name="Picture 13">
          <a:extLst>
            <a:ext uri="{FF2B5EF4-FFF2-40B4-BE49-F238E27FC236}">
              <a16:creationId xmlns:a16="http://schemas.microsoft.com/office/drawing/2014/main" id="{A1812B66-B6C7-4EFB-A630-48BC9824A2F1}"/>
            </a:ext>
          </a:extLst>
        </xdr:cNvPr>
        <xdr:cNvPicPr>
          <a:picLocks noChangeAspect="1"/>
        </xdr:cNvPicPr>
      </xdr:nvPicPr>
      <xdr:blipFill>
        <a:blip xmlns:r="http://schemas.openxmlformats.org/officeDocument/2006/relationships" r:embed="rId5"/>
        <a:stretch>
          <a:fillRect/>
        </a:stretch>
      </xdr:blipFill>
      <xdr:spPr>
        <a:xfrm>
          <a:off x="15849600" y="1701800"/>
          <a:ext cx="2950720" cy="2840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268881</xdr:colOff>
      <xdr:row>34</xdr:row>
      <xdr:rowOff>175820</xdr:rowOff>
    </xdr:to>
    <xdr:pic>
      <xdr:nvPicPr>
        <xdr:cNvPr id="10" name="Picture 9">
          <a:extLst>
            <a:ext uri="{FF2B5EF4-FFF2-40B4-BE49-F238E27FC236}">
              <a16:creationId xmlns:a16="http://schemas.microsoft.com/office/drawing/2014/main" id="{D55C161D-9F9C-4D4D-A755-C38A5906EC42}"/>
            </a:ext>
          </a:extLst>
        </xdr:cNvPr>
        <xdr:cNvPicPr>
          <a:picLocks noChangeAspect="1"/>
        </xdr:cNvPicPr>
      </xdr:nvPicPr>
      <xdr:blipFill>
        <a:blip xmlns:r="http://schemas.openxmlformats.org/officeDocument/2006/relationships" r:embed="rId1"/>
        <a:stretch>
          <a:fillRect/>
        </a:stretch>
      </xdr:blipFill>
      <xdr:spPr>
        <a:xfrm>
          <a:off x="0" y="361950"/>
          <a:ext cx="7584081" cy="6462320"/>
        </a:xfrm>
        <a:prstGeom prst="rect">
          <a:avLst/>
        </a:prstGeom>
      </xdr:spPr>
    </xdr:pic>
    <xdr:clientData/>
  </xdr:twoCellAnchor>
  <xdr:twoCellAnchor editAs="oneCell">
    <xdr:from>
      <xdr:col>12</xdr:col>
      <xdr:colOff>295275</xdr:colOff>
      <xdr:row>0</xdr:row>
      <xdr:rowOff>342900</xdr:rowOff>
    </xdr:from>
    <xdr:to>
      <xdr:col>25</xdr:col>
      <xdr:colOff>9425</xdr:colOff>
      <xdr:row>34</xdr:row>
      <xdr:rowOff>162867</xdr:rowOff>
    </xdr:to>
    <xdr:pic>
      <xdr:nvPicPr>
        <xdr:cNvPr id="12" name="Picture 11">
          <a:extLst>
            <a:ext uri="{FF2B5EF4-FFF2-40B4-BE49-F238E27FC236}">
              <a16:creationId xmlns:a16="http://schemas.microsoft.com/office/drawing/2014/main" id="{43585CF7-8103-4F93-AB09-8B0F8282B2E0}"/>
            </a:ext>
          </a:extLst>
        </xdr:cNvPr>
        <xdr:cNvPicPr>
          <a:picLocks noChangeAspect="1"/>
        </xdr:cNvPicPr>
      </xdr:nvPicPr>
      <xdr:blipFill>
        <a:blip xmlns:r="http://schemas.openxmlformats.org/officeDocument/2006/relationships" r:embed="rId2"/>
        <a:stretch>
          <a:fillRect/>
        </a:stretch>
      </xdr:blipFill>
      <xdr:spPr>
        <a:xfrm>
          <a:off x="7610475" y="342900"/>
          <a:ext cx="7638950" cy="6468417"/>
        </a:xfrm>
        <a:prstGeom prst="rect">
          <a:avLst/>
        </a:prstGeom>
      </xdr:spPr>
    </xdr:pic>
    <xdr:clientData/>
  </xdr:twoCellAnchor>
  <xdr:twoCellAnchor editAs="oneCell">
    <xdr:from>
      <xdr:col>0</xdr:col>
      <xdr:colOff>85725</xdr:colOff>
      <xdr:row>35</xdr:row>
      <xdr:rowOff>0</xdr:rowOff>
    </xdr:from>
    <xdr:to>
      <xdr:col>12</xdr:col>
      <xdr:colOff>366799</xdr:colOff>
      <xdr:row>69</xdr:row>
      <xdr:rowOff>9706</xdr:rowOff>
    </xdr:to>
    <xdr:pic>
      <xdr:nvPicPr>
        <xdr:cNvPr id="13" name="Picture 12">
          <a:extLst>
            <a:ext uri="{FF2B5EF4-FFF2-40B4-BE49-F238E27FC236}">
              <a16:creationId xmlns:a16="http://schemas.microsoft.com/office/drawing/2014/main" id="{0B77A33E-8FF5-4FB5-B90F-98618B5FC003}"/>
            </a:ext>
          </a:extLst>
        </xdr:cNvPr>
        <xdr:cNvPicPr>
          <a:picLocks noChangeAspect="1"/>
        </xdr:cNvPicPr>
      </xdr:nvPicPr>
      <xdr:blipFill>
        <a:blip xmlns:r="http://schemas.openxmlformats.org/officeDocument/2006/relationships" r:embed="rId3"/>
        <a:stretch>
          <a:fillRect/>
        </a:stretch>
      </xdr:blipFill>
      <xdr:spPr>
        <a:xfrm>
          <a:off x="85725" y="6838950"/>
          <a:ext cx="7596274" cy="6486706"/>
        </a:xfrm>
        <a:prstGeom prst="rect">
          <a:avLst/>
        </a:prstGeom>
      </xdr:spPr>
    </xdr:pic>
    <xdr:clientData/>
  </xdr:twoCellAnchor>
  <xdr:twoCellAnchor editAs="oneCell">
    <xdr:from>
      <xdr:col>12</xdr:col>
      <xdr:colOff>466725</xdr:colOff>
      <xdr:row>34</xdr:row>
      <xdr:rowOff>180975</xdr:rowOff>
    </xdr:from>
    <xdr:to>
      <xdr:col>25</xdr:col>
      <xdr:colOff>138199</xdr:colOff>
      <xdr:row>68</xdr:row>
      <xdr:rowOff>178488</xdr:rowOff>
    </xdr:to>
    <xdr:pic>
      <xdr:nvPicPr>
        <xdr:cNvPr id="14" name="Picture 13">
          <a:extLst>
            <a:ext uri="{FF2B5EF4-FFF2-40B4-BE49-F238E27FC236}">
              <a16:creationId xmlns:a16="http://schemas.microsoft.com/office/drawing/2014/main" id="{96DEA1F2-4D95-4A6E-B91E-3CE39C135B89}"/>
            </a:ext>
          </a:extLst>
        </xdr:cNvPr>
        <xdr:cNvPicPr>
          <a:picLocks noChangeAspect="1"/>
        </xdr:cNvPicPr>
      </xdr:nvPicPr>
      <xdr:blipFill>
        <a:blip xmlns:r="http://schemas.openxmlformats.org/officeDocument/2006/relationships" r:embed="rId4"/>
        <a:stretch>
          <a:fillRect/>
        </a:stretch>
      </xdr:blipFill>
      <xdr:spPr>
        <a:xfrm>
          <a:off x="7781925" y="6829425"/>
          <a:ext cx="7596274" cy="6474513"/>
        </a:xfrm>
        <a:prstGeom prst="rect">
          <a:avLst/>
        </a:prstGeom>
      </xdr:spPr>
    </xdr:pic>
    <xdr:clientData/>
  </xdr:twoCellAnchor>
  <xdr:twoCellAnchor editAs="oneCell">
    <xdr:from>
      <xdr:col>25</xdr:col>
      <xdr:colOff>0</xdr:colOff>
      <xdr:row>7</xdr:row>
      <xdr:rowOff>0</xdr:rowOff>
    </xdr:from>
    <xdr:to>
      <xdr:col>32</xdr:col>
      <xdr:colOff>427127</xdr:colOff>
      <xdr:row>24</xdr:row>
      <xdr:rowOff>53625</xdr:rowOff>
    </xdr:to>
    <xdr:pic>
      <xdr:nvPicPr>
        <xdr:cNvPr id="15" name="Picture 14">
          <a:extLst>
            <a:ext uri="{FF2B5EF4-FFF2-40B4-BE49-F238E27FC236}">
              <a16:creationId xmlns:a16="http://schemas.microsoft.com/office/drawing/2014/main" id="{CAB8EE3D-59F4-400F-A3FE-17D9CECE0228}"/>
            </a:ext>
          </a:extLst>
        </xdr:cNvPr>
        <xdr:cNvPicPr>
          <a:picLocks noChangeAspect="1"/>
        </xdr:cNvPicPr>
      </xdr:nvPicPr>
      <xdr:blipFill>
        <a:blip xmlns:r="http://schemas.openxmlformats.org/officeDocument/2006/relationships" r:embed="rId5"/>
        <a:stretch>
          <a:fillRect/>
        </a:stretch>
      </xdr:blipFill>
      <xdr:spPr>
        <a:xfrm>
          <a:off x="15240000" y="1504950"/>
          <a:ext cx="4694327" cy="3292125"/>
        </a:xfrm>
        <a:prstGeom prst="rect">
          <a:avLst/>
        </a:prstGeom>
      </xdr:spPr>
    </xdr:pic>
    <xdr:clientData/>
  </xdr:twoCellAnchor>
  <xdr:twoCellAnchor editAs="oneCell">
    <xdr:from>
      <xdr:col>25</xdr:col>
      <xdr:colOff>85725</xdr:colOff>
      <xdr:row>41</xdr:row>
      <xdr:rowOff>0</xdr:rowOff>
    </xdr:from>
    <xdr:to>
      <xdr:col>31</xdr:col>
      <xdr:colOff>476220</xdr:colOff>
      <xdr:row>48</xdr:row>
      <xdr:rowOff>32122</xdr:rowOff>
    </xdr:to>
    <xdr:pic>
      <xdr:nvPicPr>
        <xdr:cNvPr id="16" name="Picture 15">
          <a:extLst>
            <a:ext uri="{FF2B5EF4-FFF2-40B4-BE49-F238E27FC236}">
              <a16:creationId xmlns:a16="http://schemas.microsoft.com/office/drawing/2014/main" id="{E3384D70-C102-48E4-8E66-F2FE47573F6D}"/>
            </a:ext>
          </a:extLst>
        </xdr:cNvPr>
        <xdr:cNvPicPr>
          <a:picLocks noChangeAspect="1"/>
        </xdr:cNvPicPr>
      </xdr:nvPicPr>
      <xdr:blipFill>
        <a:blip xmlns:r="http://schemas.openxmlformats.org/officeDocument/2006/relationships" r:embed="rId6"/>
        <a:stretch>
          <a:fillRect/>
        </a:stretch>
      </xdr:blipFill>
      <xdr:spPr>
        <a:xfrm>
          <a:off x="15325725" y="7981950"/>
          <a:ext cx="4048095" cy="136562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17</xdr:col>
      <xdr:colOff>415462</xdr:colOff>
      <xdr:row>46</xdr:row>
      <xdr:rowOff>11412</xdr:rowOff>
    </xdr:to>
    <xdr:pic>
      <xdr:nvPicPr>
        <xdr:cNvPr id="3" name="Picture 2">
          <a:extLst>
            <a:ext uri="{FF2B5EF4-FFF2-40B4-BE49-F238E27FC236}">
              <a16:creationId xmlns:a16="http://schemas.microsoft.com/office/drawing/2014/main" id="{485F4949-B66E-4E59-982F-E84C50469EB8}"/>
            </a:ext>
          </a:extLst>
        </xdr:cNvPr>
        <xdr:cNvPicPr>
          <a:picLocks noChangeAspect="1"/>
        </xdr:cNvPicPr>
      </xdr:nvPicPr>
      <xdr:blipFill>
        <a:blip xmlns:r="http://schemas.openxmlformats.org/officeDocument/2006/relationships" r:embed="rId1"/>
        <a:stretch>
          <a:fillRect/>
        </a:stretch>
      </xdr:blipFill>
      <xdr:spPr>
        <a:xfrm>
          <a:off x="0" y="190500"/>
          <a:ext cx="10778662" cy="8583912"/>
        </a:xfrm>
        <a:prstGeom prst="rect">
          <a:avLst/>
        </a:prstGeom>
      </xdr:spPr>
    </xdr:pic>
    <xdr:clientData/>
  </xdr:twoCellAnchor>
  <xdr:twoCellAnchor editAs="oneCell">
    <xdr:from>
      <xdr:col>18</xdr:col>
      <xdr:colOff>0</xdr:colOff>
      <xdr:row>1</xdr:row>
      <xdr:rowOff>0</xdr:rowOff>
    </xdr:from>
    <xdr:to>
      <xdr:col>32</xdr:col>
      <xdr:colOff>55608</xdr:colOff>
      <xdr:row>46</xdr:row>
      <xdr:rowOff>29702</xdr:rowOff>
    </xdr:to>
    <xdr:pic>
      <xdr:nvPicPr>
        <xdr:cNvPr id="4" name="Picture 3">
          <a:extLst>
            <a:ext uri="{FF2B5EF4-FFF2-40B4-BE49-F238E27FC236}">
              <a16:creationId xmlns:a16="http://schemas.microsoft.com/office/drawing/2014/main" id="{FF809837-C0A1-48EE-A859-07D3CB271681}"/>
            </a:ext>
          </a:extLst>
        </xdr:cNvPr>
        <xdr:cNvPicPr>
          <a:picLocks noChangeAspect="1"/>
        </xdr:cNvPicPr>
      </xdr:nvPicPr>
      <xdr:blipFill>
        <a:blip xmlns:r="http://schemas.openxmlformats.org/officeDocument/2006/relationships" r:embed="rId2"/>
        <a:stretch>
          <a:fillRect/>
        </a:stretch>
      </xdr:blipFill>
      <xdr:spPr>
        <a:xfrm>
          <a:off x="10972800" y="190500"/>
          <a:ext cx="8590008" cy="8602202"/>
        </a:xfrm>
        <a:prstGeom prst="rect">
          <a:avLst/>
        </a:prstGeom>
      </xdr:spPr>
    </xdr:pic>
    <xdr:clientData/>
  </xdr:twoCellAnchor>
  <xdr:twoCellAnchor editAs="oneCell">
    <xdr:from>
      <xdr:col>1</xdr:col>
      <xdr:colOff>0</xdr:colOff>
      <xdr:row>48</xdr:row>
      <xdr:rowOff>0</xdr:rowOff>
    </xdr:from>
    <xdr:to>
      <xdr:col>16</xdr:col>
      <xdr:colOff>286469</xdr:colOff>
      <xdr:row>55</xdr:row>
      <xdr:rowOff>26026</xdr:rowOff>
    </xdr:to>
    <xdr:pic>
      <xdr:nvPicPr>
        <xdr:cNvPr id="7" name="Picture 6">
          <a:extLst>
            <a:ext uri="{FF2B5EF4-FFF2-40B4-BE49-F238E27FC236}">
              <a16:creationId xmlns:a16="http://schemas.microsoft.com/office/drawing/2014/main" id="{3B045B21-48B1-40C0-BBD8-CEAB2443B100}"/>
            </a:ext>
          </a:extLst>
        </xdr:cNvPr>
        <xdr:cNvPicPr>
          <a:picLocks noChangeAspect="1"/>
        </xdr:cNvPicPr>
      </xdr:nvPicPr>
      <xdr:blipFill>
        <a:blip xmlns:r="http://schemas.openxmlformats.org/officeDocument/2006/relationships" r:embed="rId3"/>
        <a:stretch>
          <a:fillRect/>
        </a:stretch>
      </xdr:blipFill>
      <xdr:spPr>
        <a:xfrm>
          <a:off x="607219" y="9144000"/>
          <a:ext cx="9394750" cy="1359526"/>
        </a:xfrm>
        <a:prstGeom prst="rect">
          <a:avLst/>
        </a:prstGeom>
      </xdr:spPr>
    </xdr:pic>
    <xdr:clientData/>
  </xdr:twoCellAnchor>
  <xdr:twoCellAnchor editAs="oneCell">
    <xdr:from>
      <xdr:col>19</xdr:col>
      <xdr:colOff>0</xdr:colOff>
      <xdr:row>48</xdr:row>
      <xdr:rowOff>0</xdr:rowOff>
    </xdr:from>
    <xdr:to>
      <xdr:col>32</xdr:col>
      <xdr:colOff>549848</xdr:colOff>
      <xdr:row>58</xdr:row>
      <xdr:rowOff>88565</xdr:rowOff>
    </xdr:to>
    <xdr:pic>
      <xdr:nvPicPr>
        <xdr:cNvPr id="8" name="Picture 7">
          <a:extLst>
            <a:ext uri="{FF2B5EF4-FFF2-40B4-BE49-F238E27FC236}">
              <a16:creationId xmlns:a16="http://schemas.microsoft.com/office/drawing/2014/main" id="{D7C1CDAE-C559-4750-A8C2-68E11E7959D1}"/>
            </a:ext>
          </a:extLst>
        </xdr:cNvPr>
        <xdr:cNvPicPr>
          <a:picLocks noChangeAspect="1"/>
        </xdr:cNvPicPr>
      </xdr:nvPicPr>
      <xdr:blipFill>
        <a:blip xmlns:r="http://schemas.openxmlformats.org/officeDocument/2006/relationships" r:embed="rId4"/>
        <a:stretch>
          <a:fillRect/>
        </a:stretch>
      </xdr:blipFill>
      <xdr:spPr>
        <a:xfrm>
          <a:off x="11537156" y="9144000"/>
          <a:ext cx="8443692" cy="199356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110477</xdr:colOff>
      <xdr:row>44</xdr:row>
      <xdr:rowOff>20524</xdr:rowOff>
    </xdr:to>
    <xdr:pic>
      <xdr:nvPicPr>
        <xdr:cNvPr id="2" name="Picture 1">
          <a:extLst>
            <a:ext uri="{FF2B5EF4-FFF2-40B4-BE49-F238E27FC236}">
              <a16:creationId xmlns:a16="http://schemas.microsoft.com/office/drawing/2014/main" id="{DFAC3868-123C-40C5-AC31-E8C7FEE5001F}"/>
            </a:ext>
          </a:extLst>
        </xdr:cNvPr>
        <xdr:cNvPicPr>
          <a:picLocks noChangeAspect="1"/>
        </xdr:cNvPicPr>
      </xdr:nvPicPr>
      <xdr:blipFill>
        <a:blip xmlns:r="http://schemas.openxmlformats.org/officeDocument/2006/relationships" r:embed="rId1"/>
        <a:stretch>
          <a:fillRect/>
        </a:stretch>
      </xdr:blipFill>
      <xdr:spPr>
        <a:xfrm>
          <a:off x="0" y="190500"/>
          <a:ext cx="8644877" cy="8212024"/>
        </a:xfrm>
        <a:prstGeom prst="rect">
          <a:avLst/>
        </a:prstGeom>
      </xdr:spPr>
    </xdr:pic>
    <xdr:clientData/>
  </xdr:twoCellAnchor>
  <xdr:twoCellAnchor editAs="oneCell">
    <xdr:from>
      <xdr:col>15</xdr:col>
      <xdr:colOff>0</xdr:colOff>
      <xdr:row>6</xdr:row>
      <xdr:rowOff>0</xdr:rowOff>
    </xdr:from>
    <xdr:to>
      <xdr:col>19</xdr:col>
      <xdr:colOff>524513</xdr:colOff>
      <xdr:row>26</xdr:row>
      <xdr:rowOff>73489</xdr:rowOff>
    </xdr:to>
    <xdr:pic>
      <xdr:nvPicPr>
        <xdr:cNvPr id="3" name="Picture 2">
          <a:extLst>
            <a:ext uri="{FF2B5EF4-FFF2-40B4-BE49-F238E27FC236}">
              <a16:creationId xmlns:a16="http://schemas.microsoft.com/office/drawing/2014/main" id="{FCE1D5B7-9B00-4739-9ACF-BCEB04534009}"/>
            </a:ext>
          </a:extLst>
        </xdr:cNvPr>
        <xdr:cNvPicPr>
          <a:picLocks noChangeAspect="1"/>
        </xdr:cNvPicPr>
      </xdr:nvPicPr>
      <xdr:blipFill>
        <a:blip xmlns:r="http://schemas.openxmlformats.org/officeDocument/2006/relationships" r:embed="rId2"/>
        <a:stretch>
          <a:fillRect/>
        </a:stretch>
      </xdr:blipFill>
      <xdr:spPr>
        <a:xfrm>
          <a:off x="9144000" y="1314450"/>
          <a:ext cx="2962913" cy="388348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73898</xdr:colOff>
      <xdr:row>44</xdr:row>
      <xdr:rowOff>32717</xdr:rowOff>
    </xdr:to>
    <xdr:pic>
      <xdr:nvPicPr>
        <xdr:cNvPr id="2" name="Picture 1">
          <a:extLst>
            <a:ext uri="{FF2B5EF4-FFF2-40B4-BE49-F238E27FC236}">
              <a16:creationId xmlns:a16="http://schemas.microsoft.com/office/drawing/2014/main" id="{BFEA3A07-F8BC-475A-BF43-55D2B2B7B447}"/>
            </a:ext>
          </a:extLst>
        </xdr:cNvPr>
        <xdr:cNvPicPr>
          <a:picLocks noChangeAspect="1"/>
        </xdr:cNvPicPr>
      </xdr:nvPicPr>
      <xdr:blipFill>
        <a:blip xmlns:r="http://schemas.openxmlformats.org/officeDocument/2006/relationships" r:embed="rId1"/>
        <a:stretch>
          <a:fillRect/>
        </a:stretch>
      </xdr:blipFill>
      <xdr:spPr>
        <a:xfrm>
          <a:off x="0" y="190500"/>
          <a:ext cx="8608298" cy="8224217"/>
        </a:xfrm>
        <a:prstGeom prst="rect">
          <a:avLst/>
        </a:prstGeom>
      </xdr:spPr>
    </xdr:pic>
    <xdr:clientData/>
  </xdr:twoCellAnchor>
  <xdr:twoCellAnchor editAs="oneCell">
    <xdr:from>
      <xdr:col>14</xdr:col>
      <xdr:colOff>0</xdr:colOff>
      <xdr:row>1</xdr:row>
      <xdr:rowOff>0</xdr:rowOff>
    </xdr:from>
    <xdr:to>
      <xdr:col>28</xdr:col>
      <xdr:colOff>122670</xdr:colOff>
      <xdr:row>44</xdr:row>
      <xdr:rowOff>38813</xdr:rowOff>
    </xdr:to>
    <xdr:pic>
      <xdr:nvPicPr>
        <xdr:cNvPr id="4" name="Picture 3">
          <a:extLst>
            <a:ext uri="{FF2B5EF4-FFF2-40B4-BE49-F238E27FC236}">
              <a16:creationId xmlns:a16="http://schemas.microsoft.com/office/drawing/2014/main" id="{0AB43882-A859-4957-BB80-C841BFDF96F0}"/>
            </a:ext>
          </a:extLst>
        </xdr:cNvPr>
        <xdr:cNvPicPr>
          <a:picLocks noChangeAspect="1"/>
        </xdr:cNvPicPr>
      </xdr:nvPicPr>
      <xdr:blipFill>
        <a:blip xmlns:r="http://schemas.openxmlformats.org/officeDocument/2006/relationships" r:embed="rId2"/>
        <a:stretch>
          <a:fillRect/>
        </a:stretch>
      </xdr:blipFill>
      <xdr:spPr>
        <a:xfrm>
          <a:off x="8534400" y="190500"/>
          <a:ext cx="8657070" cy="8230313"/>
        </a:xfrm>
        <a:prstGeom prst="rect">
          <a:avLst/>
        </a:prstGeom>
      </xdr:spPr>
    </xdr:pic>
    <xdr:clientData/>
  </xdr:twoCellAnchor>
  <xdr:twoCellAnchor editAs="oneCell">
    <xdr:from>
      <xdr:col>0</xdr:col>
      <xdr:colOff>447675</xdr:colOff>
      <xdr:row>45</xdr:row>
      <xdr:rowOff>0</xdr:rowOff>
    </xdr:from>
    <xdr:to>
      <xdr:col>14</xdr:col>
      <xdr:colOff>308195</xdr:colOff>
      <xdr:row>56</xdr:row>
      <xdr:rowOff>62671</xdr:rowOff>
    </xdr:to>
    <xdr:pic>
      <xdr:nvPicPr>
        <xdr:cNvPr id="7" name="Picture 6">
          <a:extLst>
            <a:ext uri="{FF2B5EF4-FFF2-40B4-BE49-F238E27FC236}">
              <a16:creationId xmlns:a16="http://schemas.microsoft.com/office/drawing/2014/main" id="{342ACF98-DFE0-4DB6-B0C9-EFBFF0A7B606}"/>
            </a:ext>
          </a:extLst>
        </xdr:cNvPr>
        <xdr:cNvPicPr>
          <a:picLocks noChangeAspect="1"/>
        </xdr:cNvPicPr>
      </xdr:nvPicPr>
      <xdr:blipFill>
        <a:blip xmlns:r="http://schemas.openxmlformats.org/officeDocument/2006/relationships" r:embed="rId3"/>
        <a:stretch>
          <a:fillRect/>
        </a:stretch>
      </xdr:blipFill>
      <xdr:spPr>
        <a:xfrm>
          <a:off x="447675" y="8743950"/>
          <a:ext cx="8394920" cy="2158171"/>
        </a:xfrm>
        <a:prstGeom prst="rect">
          <a:avLst/>
        </a:prstGeom>
      </xdr:spPr>
    </xdr:pic>
    <xdr:clientData/>
  </xdr:twoCellAnchor>
  <xdr:twoCellAnchor editAs="oneCell">
    <xdr:from>
      <xdr:col>14</xdr:col>
      <xdr:colOff>361950</xdr:colOff>
      <xdr:row>45</xdr:row>
      <xdr:rowOff>1</xdr:rowOff>
    </xdr:from>
    <xdr:to>
      <xdr:col>28</xdr:col>
      <xdr:colOff>320014</xdr:colOff>
      <xdr:row>56</xdr:row>
      <xdr:rowOff>57151</xdr:rowOff>
    </xdr:to>
    <xdr:pic>
      <xdr:nvPicPr>
        <xdr:cNvPr id="8" name="Picture 7">
          <a:extLst>
            <a:ext uri="{FF2B5EF4-FFF2-40B4-BE49-F238E27FC236}">
              <a16:creationId xmlns:a16="http://schemas.microsoft.com/office/drawing/2014/main" id="{F4138E65-1381-490D-807C-6215474EC4EC}"/>
            </a:ext>
          </a:extLst>
        </xdr:cNvPr>
        <xdr:cNvPicPr>
          <a:picLocks noChangeAspect="1"/>
        </xdr:cNvPicPr>
      </xdr:nvPicPr>
      <xdr:blipFill>
        <a:blip xmlns:r="http://schemas.openxmlformats.org/officeDocument/2006/relationships" r:embed="rId4"/>
        <a:stretch>
          <a:fillRect/>
        </a:stretch>
      </xdr:blipFill>
      <xdr:spPr>
        <a:xfrm>
          <a:off x="8896350" y="8743951"/>
          <a:ext cx="8492464" cy="21526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215900</xdr:colOff>
      <xdr:row>0</xdr:row>
      <xdr:rowOff>0</xdr:rowOff>
    </xdr:from>
    <xdr:to>
      <xdr:col>19</xdr:col>
      <xdr:colOff>81935</xdr:colOff>
      <xdr:row>22</xdr:row>
      <xdr:rowOff>171450</xdr:rowOff>
    </xdr:to>
    <xdr:graphicFrame macro="">
      <xdr:nvGraphicFramePr>
        <xdr:cNvPr id="7" name="Chart 6">
          <a:extLst>
            <a:ext uri="{FF2B5EF4-FFF2-40B4-BE49-F238E27FC236}">
              <a16:creationId xmlns:a16="http://schemas.microsoft.com/office/drawing/2014/main" id="{B8CB4B6A-FCB6-40E5-9A90-56B6C8B903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10</xdr:col>
      <xdr:colOff>225769</xdr:colOff>
      <xdr:row>22</xdr:row>
      <xdr:rowOff>171450</xdr:rowOff>
    </xdr:to>
    <xdr:graphicFrame macro="">
      <xdr:nvGraphicFramePr>
        <xdr:cNvPr id="2" name="Chart 1">
          <a:extLst>
            <a:ext uri="{FF2B5EF4-FFF2-40B4-BE49-F238E27FC236}">
              <a16:creationId xmlns:a16="http://schemas.microsoft.com/office/drawing/2014/main" id="{0DE470F8-23B1-47F5-A82B-C7C5068DC6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409677</xdr:colOff>
      <xdr:row>5</xdr:row>
      <xdr:rowOff>163871</xdr:rowOff>
    </xdr:from>
    <xdr:to>
      <xdr:col>25</xdr:col>
      <xdr:colOff>450645</xdr:colOff>
      <xdr:row>21</xdr:row>
      <xdr:rowOff>71694</xdr:rowOff>
    </xdr:to>
    <xdr:sp macro="" textlink="">
      <xdr:nvSpPr>
        <xdr:cNvPr id="4" name="TextBox 3">
          <a:extLst>
            <a:ext uri="{FF2B5EF4-FFF2-40B4-BE49-F238E27FC236}">
              <a16:creationId xmlns:a16="http://schemas.microsoft.com/office/drawing/2014/main" id="{50925A4A-3F77-4D15-A979-B27940C46946}"/>
            </a:ext>
          </a:extLst>
        </xdr:cNvPr>
        <xdr:cNvSpPr txBox="1"/>
      </xdr:nvSpPr>
      <xdr:spPr>
        <a:xfrm>
          <a:off x="14564032" y="1700161"/>
          <a:ext cx="4445000" cy="3021372"/>
        </a:xfrm>
        <a:prstGeom prst="rect">
          <a:avLst/>
        </a:prstGeom>
        <a:solidFill>
          <a:sysClr val="window" lastClr="FFFFFF">
            <a:alpha val="72000"/>
          </a:sysClr>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200" b="0" i="0" u="none" strike="noStrike" kern="0" cap="none" spc="0" normalizeH="0" baseline="0" noProof="0">
              <a:ln>
                <a:noFill/>
              </a:ln>
              <a:solidFill>
                <a:sysClr val="windowText" lastClr="000000"/>
              </a:solidFill>
              <a:effectLst/>
              <a:uLnTx/>
              <a:uFillTx/>
              <a:latin typeface="+mn-lt"/>
              <a:ea typeface="+mn-ea"/>
              <a:cs typeface="+mn-cs"/>
            </a:rPr>
            <a:t>The Final Draft v3.0 water consumption levels for combination ovens in convection and steam modes during periods of cooking are expressed in gallons per pan (GPP). Based on the analysis for determining water consumption rates during cooking periods in both steam and convection modes, no ENERGY STAR certified combination oven models that would continue to meet all other energy metrics fail to meet the Final Draft proposed water consumption levels. The proposed levels would however prevent any model that consumes an excess volume of water during operation. </a:t>
          </a: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Text" lastClr="000000"/>
            </a:solidFill>
            <a:effectLst/>
            <a:uLnTx/>
            <a:uFillTx/>
            <a:latin typeface="+mn-lt"/>
            <a:ea typeface="+mn-ea"/>
            <a:cs typeface="+mn-cs"/>
          </a:endParaRPr>
        </a:p>
        <a:p>
          <a:r>
            <a:rPr lang="en-US" sz="1100">
              <a:effectLst/>
              <a:latin typeface="+mn-lt"/>
              <a:ea typeface="+mn-ea"/>
              <a:cs typeface="+mn-cs"/>
            </a:rPr>
            <a:t>Proposed Steam Mode</a:t>
          </a:r>
          <a:r>
            <a:rPr lang="en-US" sz="1100" baseline="0">
              <a:effectLst/>
              <a:latin typeface="+mn-lt"/>
              <a:ea typeface="+mn-ea"/>
              <a:cs typeface="+mn-cs"/>
            </a:rPr>
            <a:t> Average Water Consumption Rate during periods of cooking</a:t>
          </a:r>
          <a:r>
            <a:rPr lang="en-US" sz="1100">
              <a:effectLst/>
              <a:latin typeface="+mn-lt"/>
              <a:ea typeface="+mn-ea"/>
              <a:cs typeface="+mn-cs"/>
            </a:rPr>
            <a:t>: 0.5</a:t>
          </a:r>
          <a:r>
            <a:rPr lang="en-US" sz="1100" baseline="0">
              <a:effectLst/>
              <a:latin typeface="+mn-lt"/>
              <a:ea typeface="+mn-ea"/>
              <a:cs typeface="+mn-cs"/>
            </a:rPr>
            <a:t> GPP</a:t>
          </a:r>
          <a:r>
            <a:rPr lang="en-US" sz="1100">
              <a:effectLst/>
              <a:latin typeface="+mn-lt"/>
              <a:ea typeface="+mn-ea"/>
              <a:cs typeface="+mn-cs"/>
            </a:rPr>
            <a:t>​</a:t>
          </a:r>
        </a:p>
        <a:p>
          <a:endParaRPr lang="en-US" sz="1200">
            <a:effectLst/>
          </a:endParaRPr>
        </a:p>
        <a:p>
          <a:r>
            <a:rPr lang="en-US" sz="1100">
              <a:effectLst/>
              <a:latin typeface="+mn-lt"/>
              <a:ea typeface="+mn-ea"/>
              <a:cs typeface="+mn-cs"/>
            </a:rPr>
            <a:t>Proposed Convection Mode</a:t>
          </a:r>
          <a:r>
            <a:rPr lang="en-US" sz="1100" baseline="0">
              <a:effectLst/>
              <a:latin typeface="+mn-lt"/>
              <a:ea typeface="+mn-ea"/>
              <a:cs typeface="+mn-cs"/>
            </a:rPr>
            <a:t> Average Water Consumption Rate during periods of cooking</a:t>
          </a:r>
          <a:r>
            <a:rPr lang="en-US" sz="1100">
              <a:effectLst/>
              <a:latin typeface="+mn-lt"/>
              <a:ea typeface="+mn-ea"/>
              <a:cs typeface="+mn-cs"/>
            </a:rPr>
            <a:t>: 0.4</a:t>
          </a:r>
          <a:r>
            <a:rPr lang="en-US" sz="1100" baseline="0">
              <a:effectLst/>
              <a:latin typeface="+mn-lt"/>
              <a:ea typeface="+mn-ea"/>
              <a:cs typeface="+mn-cs"/>
            </a:rPr>
            <a:t> GPP</a:t>
          </a:r>
          <a:endParaRPr lang="en-US" sz="1200">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US" sz="12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54428</xdr:colOff>
      <xdr:row>4</xdr:row>
      <xdr:rowOff>125638</xdr:rowOff>
    </xdr:from>
    <xdr:to>
      <xdr:col>30</xdr:col>
      <xdr:colOff>585107</xdr:colOff>
      <xdr:row>49</xdr:row>
      <xdr:rowOff>122012</xdr:rowOff>
    </xdr:to>
    <xdr:graphicFrame macro="">
      <xdr:nvGraphicFramePr>
        <xdr:cNvPr id="4" name="Chart 3">
          <a:extLst>
            <a:ext uri="{FF2B5EF4-FFF2-40B4-BE49-F238E27FC236}">
              <a16:creationId xmlns:a16="http://schemas.microsoft.com/office/drawing/2014/main" id="{BAFC7088-8ED1-4E78-9E29-FCD84CF3C6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105683</xdr:colOff>
      <xdr:row>48</xdr:row>
      <xdr:rowOff>77560</xdr:rowOff>
    </xdr:from>
    <xdr:to>
      <xdr:col>31</xdr:col>
      <xdr:colOff>391433</xdr:colOff>
      <xdr:row>55</xdr:row>
      <xdr:rowOff>68035</xdr:rowOff>
    </xdr:to>
    <xdr:sp macro="" textlink="">
      <xdr:nvSpPr>
        <xdr:cNvPr id="3" name="TextBox 2">
          <a:extLst>
            <a:ext uri="{FF2B5EF4-FFF2-40B4-BE49-F238E27FC236}">
              <a16:creationId xmlns:a16="http://schemas.microsoft.com/office/drawing/2014/main" id="{9EC55B5B-9E73-4A34-A23F-A011865D6A80}"/>
            </a:ext>
          </a:extLst>
        </xdr:cNvPr>
        <xdr:cNvSpPr txBox="1"/>
      </xdr:nvSpPr>
      <xdr:spPr>
        <a:xfrm>
          <a:off x="718004" y="8963024"/>
          <a:ext cx="18655393" cy="1228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US" sz="1600" b="0" i="0" u="none" strike="noStrike" kern="0" cap="none" spc="0" normalizeH="0" baseline="0" noProof="0">
              <a:ln>
                <a:noFill/>
              </a:ln>
              <a:solidFill>
                <a:sysClr val="windowText" lastClr="000000"/>
              </a:solidFill>
              <a:effectLst/>
              <a:uLnTx/>
              <a:uFillTx/>
              <a:latin typeface="+mn-lt"/>
              <a:ea typeface="+mn-ea"/>
              <a:cs typeface="+mn-cs"/>
            </a:rPr>
            <a:t>Market share values are based on 2019 and 2020 Unit Shipment Data (USD) as well as EPA's best professional understanding of the market for the v2.2 scope.  Commercial ovens shipments provided by ENERGY STAR partners represent the vast majority of the market for all categories except gas rack ovens where participation in the program is roughly estimated to be closer to a quarter of the market.  EPA does not have access to total market data (including shipments from non-partners) for commercial oven subcategories. Thus, for the purposes of this specification development effort, EPA has provided best professional judgment estimates of market share by sub-category.  EPA would welcome data reflecting total shipments by major sub-categories. </a:t>
          </a:r>
        </a:p>
        <a:p>
          <a:endParaRPr lang="en-US" sz="1100"/>
        </a:p>
      </xdr:txBody>
    </xdr:sp>
    <xdr:clientData/>
  </xdr:twoCellAnchor>
</xdr:wsDr>
</file>

<file path=xl/drawings/drawing9.xml><?xml version="1.0" encoding="utf-8"?>
<c:userShapes xmlns:c="http://schemas.openxmlformats.org/drawingml/2006/chart">
  <cdr:relSizeAnchor xmlns:cdr="http://schemas.openxmlformats.org/drawingml/2006/chartDrawing">
    <cdr:from>
      <cdr:x>0.74809</cdr:x>
      <cdr:y>0.07287</cdr:y>
    </cdr:from>
    <cdr:to>
      <cdr:x>0.97893</cdr:x>
      <cdr:y>0.24494</cdr:y>
    </cdr:to>
    <cdr:sp macro="" textlink="">
      <cdr:nvSpPr>
        <cdr:cNvPr id="5" name="TextBox 4">
          <a:extLst xmlns:a="http://schemas.openxmlformats.org/drawingml/2006/main">
            <a:ext uri="{FF2B5EF4-FFF2-40B4-BE49-F238E27FC236}">
              <a16:creationId xmlns:a16="http://schemas.microsoft.com/office/drawing/2014/main" id="{E695D7CA-D921-4950-9F1F-D127B329A8FF}"/>
            </a:ext>
          </a:extLst>
        </cdr:cNvPr>
        <cdr:cNvSpPr txBox="1"/>
      </cdr:nvSpPr>
      <cdr:spPr>
        <a:xfrm xmlns:a="http://schemas.openxmlformats.org/drawingml/2006/main">
          <a:off x="10371366" y="457200"/>
          <a:ext cx="3200400" cy="10795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https://icfonline.sharepoint.com/sites/CFS/Shared%20Documents/Commercial%20Ovens/Final%20Draft/ENERGY%20STAR%20Market%20Penetration%20-%202020%20US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2009 and 2010"/>
      <sheetName val="Summary"/>
      <sheetName val="USD From ICF"/>
      <sheetName val="Ovens"/>
      <sheetName val="EStarMP"/>
      <sheetName val="EStarShipments"/>
      <sheetName val="TotalShipments"/>
      <sheetName val="CFS"/>
      <sheetName val="CE"/>
      <sheetName val="Appliances"/>
      <sheetName val="HVAC"/>
      <sheetName val="IT"/>
      <sheetName val="Other"/>
      <sheetName val="Lighting"/>
      <sheetName val="side calcs"/>
    </sheetNames>
    <sheetDataSet>
      <sheetData sheetId="0" refreshError="1"/>
      <sheetData sheetId="1" refreshError="1"/>
      <sheetData sheetId="2" refreshError="1"/>
      <sheetData sheetId="3" refreshError="1"/>
      <sheetData sheetId="4">
        <row r="52">
          <cell r="D52">
            <v>0.4688366982557341</v>
          </cell>
          <cell r="E52">
            <v>0.47743196092114443</v>
          </cell>
        </row>
        <row r="53">
          <cell r="D53">
            <v>0.73392603129445233</v>
          </cell>
          <cell r="E53">
            <v>0.66845731636108841</v>
          </cell>
        </row>
        <row r="54">
          <cell r="D54">
            <v>0.27111613876319757</v>
          </cell>
          <cell r="E54">
            <v>0.3336159113139876</v>
          </cell>
        </row>
        <row r="55">
          <cell r="D55">
            <v>0.71371206225680939</v>
          </cell>
          <cell r="E55">
            <v>0.68253358925143959</v>
          </cell>
        </row>
        <row r="56">
          <cell r="D56">
            <v>0.4743362831858407</v>
          </cell>
          <cell r="E56">
            <v>0.5106976744186047</v>
          </cell>
        </row>
        <row r="57">
          <cell r="D57">
            <v>0.67171717171717171</v>
          </cell>
          <cell r="E57">
            <v>0.63179777935270498</v>
          </cell>
        </row>
        <row r="58">
          <cell r="D58">
            <v>0.57228714524207014</v>
          </cell>
          <cell r="E58">
            <v>0.70489662676822629</v>
          </cell>
        </row>
        <row r="59">
          <cell r="D59">
            <v>0.21457905544147843</v>
          </cell>
          <cell r="E59">
            <v>0.16093750000000001</v>
          </cell>
        </row>
        <row r="60">
          <cell r="D60">
            <v>0.25291695264241593</v>
          </cell>
          <cell r="E60">
            <v>0.24922360248447206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ysClr val="window" lastClr="FFFFFF"/>
        </a:solidFill>
        <a:ln>
          <a:noFill/>
        </a:ln>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drawing" Target="../drawings/drawing12.xml"/></Relationships>
</file>

<file path=xl/worksheets/_rels/sheet18.xml.rels><?xml version="1.0" encoding="UTF-8" standalone="yes"?>
<Relationships xmlns="http://schemas.openxmlformats.org/package/2006/relationships"><Relationship Id="rId3" Type="http://schemas.openxmlformats.org/officeDocument/2006/relationships/hyperlink" Target="https://eloma.aftersalestools.com/Aktuelle-Serie-USA-GER%c3%84TE-COMPACT-PRO-6-05-Eloma-USA-COMPACT-PRO-6-23-Bedienung-Oben,-Rechtsanschlag,-Elektro,-3-AC-208-240V-50-60Hz-6,4-8,5KW,-Frischdampfsystem,-autoclean%c2%ae-PRO-Fl/EL2110110062140000/SP/" TargetMode="Externa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5BFAF-845C-4B56-85D7-90F0E229FA63}">
  <sheetPr codeName="Sheet14">
    <tabColor rgb="FF00B0F0"/>
  </sheetPr>
  <dimension ref="B1:L35"/>
  <sheetViews>
    <sheetView tabSelected="1" zoomScale="80" zoomScaleNormal="80" workbookViewId="0">
      <selection activeCell="R9" sqref="R9"/>
    </sheetView>
  </sheetViews>
  <sheetFormatPr defaultColWidth="9.1796875" defaultRowHeight="14.5" x14ac:dyDescent="0.35"/>
  <cols>
    <col min="1" max="16384" width="9.1796875" style="9"/>
  </cols>
  <sheetData>
    <row r="1" spans="2:12" ht="15" thickBot="1" x14ac:dyDescent="0.4"/>
    <row r="2" spans="2:12" ht="14.5" customHeight="1" x14ac:dyDescent="0.35">
      <c r="B2" s="204" t="s">
        <v>67</v>
      </c>
      <c r="C2" s="205"/>
      <c r="D2" s="205"/>
      <c r="E2" s="205"/>
      <c r="F2" s="205"/>
      <c r="G2" s="205"/>
      <c r="H2" s="205"/>
      <c r="I2" s="205"/>
      <c r="J2" s="205"/>
      <c r="K2" s="205"/>
      <c r="L2" s="206"/>
    </row>
    <row r="3" spans="2:12" ht="28.5" customHeight="1" x14ac:dyDescent="0.35">
      <c r="B3" s="207"/>
      <c r="C3" s="208"/>
      <c r="D3" s="208"/>
      <c r="E3" s="208"/>
      <c r="F3" s="208"/>
      <c r="G3" s="208"/>
      <c r="H3" s="208"/>
      <c r="I3" s="208"/>
      <c r="J3" s="208"/>
      <c r="K3" s="208"/>
      <c r="L3" s="209"/>
    </row>
    <row r="4" spans="2:12" ht="15" customHeight="1" x14ac:dyDescent="0.35">
      <c r="B4" s="207"/>
      <c r="C4" s="208"/>
      <c r="D4" s="208"/>
      <c r="E4" s="208"/>
      <c r="F4" s="208"/>
      <c r="G4" s="208"/>
      <c r="H4" s="208"/>
      <c r="I4" s="208"/>
      <c r="J4" s="208"/>
      <c r="K4" s="208"/>
      <c r="L4" s="209"/>
    </row>
    <row r="5" spans="2:12" ht="58.5" customHeight="1" x14ac:dyDescent="0.45">
      <c r="B5" s="210" t="s">
        <v>441</v>
      </c>
      <c r="C5" s="211"/>
      <c r="D5" s="211"/>
      <c r="E5" s="211"/>
      <c r="F5" s="211"/>
      <c r="G5" s="211"/>
      <c r="H5" s="211"/>
      <c r="I5" s="211"/>
      <c r="J5" s="211"/>
      <c r="K5" s="211"/>
      <c r="L5" s="212"/>
    </row>
    <row r="6" spans="2:12" x14ac:dyDescent="0.35">
      <c r="B6" s="213"/>
      <c r="C6" s="214"/>
      <c r="D6" s="214"/>
      <c r="E6" s="214"/>
      <c r="F6" s="214"/>
      <c r="G6" s="214"/>
      <c r="H6" s="214"/>
      <c r="I6" s="214"/>
      <c r="J6" s="214"/>
      <c r="K6" s="214"/>
      <c r="L6" s="215"/>
    </row>
    <row r="7" spans="2:12" ht="42.65" customHeight="1" x14ac:dyDescent="0.45">
      <c r="B7" s="198" t="s">
        <v>68</v>
      </c>
      <c r="C7" s="199"/>
      <c r="D7" s="199"/>
      <c r="E7" s="199"/>
      <c r="F7" s="199"/>
      <c r="G7" s="199"/>
      <c r="H7" s="199"/>
      <c r="I7" s="199"/>
      <c r="J7" s="199"/>
      <c r="K7" s="199"/>
      <c r="L7" s="200"/>
    </row>
    <row r="8" spans="2:12" ht="26.5" customHeight="1" x14ac:dyDescent="0.45">
      <c r="B8" s="198" t="s">
        <v>69</v>
      </c>
      <c r="C8" s="199"/>
      <c r="D8" s="199"/>
      <c r="E8" s="199"/>
      <c r="F8" s="199"/>
      <c r="G8" s="199"/>
      <c r="H8" s="199"/>
      <c r="I8" s="199"/>
      <c r="J8" s="199"/>
      <c r="K8" s="199"/>
      <c r="L8" s="200"/>
    </row>
    <row r="9" spans="2:12" ht="42.65" customHeight="1" x14ac:dyDescent="0.45">
      <c r="B9" s="198" t="s">
        <v>70</v>
      </c>
      <c r="C9" s="199"/>
      <c r="D9" s="199"/>
      <c r="E9" s="199"/>
      <c r="F9" s="199"/>
      <c r="G9" s="199"/>
      <c r="H9" s="199"/>
      <c r="I9" s="199"/>
      <c r="J9" s="199"/>
      <c r="K9" s="199"/>
      <c r="L9" s="200"/>
    </row>
    <row r="10" spans="2:12" ht="42.65" customHeight="1" x14ac:dyDescent="0.45">
      <c r="B10" s="198" t="s">
        <v>71</v>
      </c>
      <c r="C10" s="199"/>
      <c r="D10" s="199"/>
      <c r="E10" s="199"/>
      <c r="F10" s="199"/>
      <c r="G10" s="199"/>
      <c r="H10" s="199"/>
      <c r="I10" s="199"/>
      <c r="J10" s="199"/>
      <c r="K10" s="199"/>
      <c r="L10" s="200"/>
    </row>
    <row r="11" spans="2:12" ht="42.65" customHeight="1" x14ac:dyDescent="0.45">
      <c r="B11" s="198" t="s">
        <v>72</v>
      </c>
      <c r="C11" s="199"/>
      <c r="D11" s="199"/>
      <c r="E11" s="199"/>
      <c r="F11" s="199"/>
      <c r="G11" s="199"/>
      <c r="H11" s="199"/>
      <c r="I11" s="199"/>
      <c r="J11" s="199"/>
      <c r="K11" s="199"/>
      <c r="L11" s="200"/>
    </row>
    <row r="12" spans="2:12" ht="41.25" customHeight="1" x14ac:dyDescent="0.45">
      <c r="B12" s="198" t="s">
        <v>442</v>
      </c>
      <c r="C12" s="199"/>
      <c r="D12" s="199"/>
      <c r="E12" s="199"/>
      <c r="F12" s="199"/>
      <c r="G12" s="199"/>
      <c r="H12" s="199"/>
      <c r="I12" s="199"/>
      <c r="J12" s="199"/>
      <c r="K12" s="199"/>
      <c r="L12" s="200"/>
    </row>
    <row r="13" spans="2:12" ht="41.25" customHeight="1" x14ac:dyDescent="0.45">
      <c r="B13" s="198" t="s">
        <v>73</v>
      </c>
      <c r="C13" s="199"/>
      <c r="D13" s="199"/>
      <c r="E13" s="199"/>
      <c r="F13" s="199"/>
      <c r="G13" s="199"/>
      <c r="H13" s="199"/>
      <c r="I13" s="199"/>
      <c r="J13" s="199"/>
      <c r="K13" s="199"/>
      <c r="L13" s="200"/>
    </row>
    <row r="14" spans="2:12" ht="38.15" customHeight="1" x14ac:dyDescent="0.45">
      <c r="B14" s="198" t="s">
        <v>74</v>
      </c>
      <c r="C14" s="199"/>
      <c r="D14" s="199"/>
      <c r="E14" s="199"/>
      <c r="F14" s="199"/>
      <c r="G14" s="199"/>
      <c r="H14" s="199"/>
      <c r="I14" s="199"/>
      <c r="J14" s="199"/>
      <c r="K14" s="199"/>
      <c r="L14" s="200"/>
    </row>
    <row r="15" spans="2:12" ht="20.25" customHeight="1" x14ac:dyDescent="0.45">
      <c r="B15" s="198" t="s">
        <v>75</v>
      </c>
      <c r="C15" s="199"/>
      <c r="D15" s="199"/>
      <c r="E15" s="199"/>
      <c r="F15" s="199"/>
      <c r="G15" s="199"/>
      <c r="H15" s="199"/>
      <c r="I15" s="199"/>
      <c r="J15" s="199"/>
      <c r="K15" s="199"/>
      <c r="L15" s="200"/>
    </row>
    <row r="16" spans="2:12" ht="37.5" customHeight="1" x14ac:dyDescent="0.45">
      <c r="B16" s="198" t="s">
        <v>76</v>
      </c>
      <c r="C16" s="199"/>
      <c r="D16" s="199"/>
      <c r="E16" s="199"/>
      <c r="F16" s="199"/>
      <c r="G16" s="199"/>
      <c r="H16" s="199"/>
      <c r="I16" s="199"/>
      <c r="J16" s="199"/>
      <c r="K16" s="199"/>
      <c r="L16" s="200"/>
    </row>
    <row r="17" spans="2:12" ht="22.5" customHeight="1" x14ac:dyDescent="0.45">
      <c r="B17" s="198" t="s">
        <v>77</v>
      </c>
      <c r="C17" s="199"/>
      <c r="D17" s="199"/>
      <c r="E17" s="199"/>
      <c r="F17" s="199"/>
      <c r="G17" s="199"/>
      <c r="H17" s="199"/>
      <c r="I17" s="199"/>
      <c r="J17" s="199"/>
      <c r="K17" s="199"/>
      <c r="L17" s="200"/>
    </row>
    <row r="18" spans="2:12" ht="29.5" customHeight="1" x14ac:dyDescent="0.45">
      <c r="B18" s="198" t="s">
        <v>78</v>
      </c>
      <c r="C18" s="199"/>
      <c r="D18" s="199"/>
      <c r="E18" s="199"/>
      <c r="F18" s="199"/>
      <c r="G18" s="199"/>
      <c r="H18" s="199"/>
      <c r="I18" s="199"/>
      <c r="J18" s="199"/>
      <c r="K18" s="199"/>
      <c r="L18" s="200"/>
    </row>
    <row r="19" spans="2:12" ht="57" customHeight="1" x14ac:dyDescent="0.45">
      <c r="B19" s="198" t="s">
        <v>452</v>
      </c>
      <c r="C19" s="199"/>
      <c r="D19" s="199"/>
      <c r="E19" s="199"/>
      <c r="F19" s="199"/>
      <c r="G19" s="199"/>
      <c r="H19" s="199"/>
      <c r="I19" s="199"/>
      <c r="J19" s="199"/>
      <c r="K19" s="199"/>
      <c r="L19" s="200"/>
    </row>
    <row r="20" spans="2:12" ht="44.5" customHeight="1" x14ac:dyDescent="0.45">
      <c r="B20" s="198" t="s">
        <v>79</v>
      </c>
      <c r="C20" s="199"/>
      <c r="D20" s="199"/>
      <c r="E20" s="199"/>
      <c r="F20" s="199"/>
      <c r="G20" s="199"/>
      <c r="H20" s="199"/>
      <c r="I20" s="199"/>
      <c r="J20" s="199"/>
      <c r="K20" s="199"/>
      <c r="L20" s="200"/>
    </row>
    <row r="21" spans="2:12" ht="18" customHeight="1" x14ac:dyDescent="0.45">
      <c r="B21" s="198"/>
      <c r="C21" s="199"/>
      <c r="D21" s="199"/>
      <c r="E21" s="199"/>
      <c r="F21" s="199"/>
      <c r="G21" s="199"/>
      <c r="H21" s="199"/>
      <c r="I21" s="199"/>
      <c r="J21" s="199"/>
      <c r="K21" s="199"/>
      <c r="L21" s="200"/>
    </row>
    <row r="22" spans="2:12" ht="114.75" customHeight="1" thickBot="1" x14ac:dyDescent="0.5">
      <c r="B22" s="201" t="s">
        <v>80</v>
      </c>
      <c r="C22" s="202"/>
      <c r="D22" s="202"/>
      <c r="E22" s="202"/>
      <c r="F22" s="202"/>
      <c r="G22" s="202"/>
      <c r="H22" s="202"/>
      <c r="I22" s="202"/>
      <c r="J22" s="202"/>
      <c r="K22" s="202"/>
      <c r="L22" s="203"/>
    </row>
    <row r="23" spans="2:12" ht="15" customHeight="1" x14ac:dyDescent="0.35"/>
    <row r="24" spans="2:12" ht="15" customHeight="1" x14ac:dyDescent="0.35"/>
    <row r="25" spans="2:12" ht="15" customHeight="1" x14ac:dyDescent="0.35"/>
    <row r="26" spans="2:12" ht="15" customHeight="1" x14ac:dyDescent="0.35"/>
    <row r="27" spans="2:12" ht="15" customHeight="1" x14ac:dyDescent="0.35"/>
    <row r="28" spans="2:12" ht="15" customHeight="1" x14ac:dyDescent="0.35"/>
    <row r="29" spans="2:12" ht="15" customHeight="1" x14ac:dyDescent="0.35"/>
    <row r="30" spans="2:12" ht="15" customHeight="1" x14ac:dyDescent="0.35"/>
    <row r="31" spans="2:12" ht="15" customHeight="1" x14ac:dyDescent="0.35"/>
    <row r="32" spans="2:12" ht="15" customHeight="1" x14ac:dyDescent="0.35"/>
    <row r="33" ht="15" customHeight="1" x14ac:dyDescent="0.35"/>
    <row r="34" ht="15" customHeight="1" x14ac:dyDescent="0.35"/>
    <row r="35" ht="15.75" customHeight="1" x14ac:dyDescent="0.35"/>
  </sheetData>
  <customSheetViews>
    <customSheetView guid="{D3B96324-F501-48FE-9FB5-D5CAA0435798}">
      <selection activeCell="K35" sqref="K35"/>
      <pageMargins left="0" right="0" top="0" bottom="0" header="0" footer="0"/>
      <pageSetup orientation="portrait" r:id="rId1"/>
    </customSheetView>
    <customSheetView guid="{DCECD019-2153-4FC6-B239-22C55039ABFE}">
      <selection activeCell="K35" sqref="K35"/>
      <pageMargins left="0" right="0" top="0" bottom="0" header="0" footer="0"/>
      <pageSetup orientation="portrait" r:id="rId2"/>
    </customSheetView>
  </customSheetViews>
  <mergeCells count="19">
    <mergeCell ref="B12:L12"/>
    <mergeCell ref="B13:L13"/>
    <mergeCell ref="B2:L4"/>
    <mergeCell ref="B5:L5"/>
    <mergeCell ref="B6:L6"/>
    <mergeCell ref="B11:L11"/>
    <mergeCell ref="B8:L8"/>
    <mergeCell ref="B9:L9"/>
    <mergeCell ref="B7:L7"/>
    <mergeCell ref="B10:L10"/>
    <mergeCell ref="B15:L15"/>
    <mergeCell ref="B21:L21"/>
    <mergeCell ref="B22:L22"/>
    <mergeCell ref="B14:L14"/>
    <mergeCell ref="B16:L16"/>
    <mergeCell ref="B17:L17"/>
    <mergeCell ref="B18:L18"/>
    <mergeCell ref="B20:L20"/>
    <mergeCell ref="B19:L19"/>
  </mergeCells>
  <pageMargins left="0.7" right="0.7" top="0.75" bottom="0.75" header="0.3" footer="0.3"/>
  <pageSetup orientation="portrait"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E57E6-5770-4798-B393-6C9F9CC2AE63}">
  <sheetPr>
    <tabColor rgb="FF00B0F0"/>
  </sheetPr>
  <dimension ref="A1"/>
  <sheetViews>
    <sheetView showGridLines="0" zoomScale="75" zoomScaleNormal="75" workbookViewId="0">
      <selection activeCell="X32" sqref="X32"/>
    </sheetView>
  </sheetViews>
  <sheetFormatPr defaultRowHeight="14.5" x14ac:dyDescent="0.35"/>
  <sheetData>
    <row r="1" spans="1:1" ht="28.5" x14ac:dyDescent="0.65">
      <c r="A1" s="197" t="s">
        <v>143</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33776-B620-47E3-977A-D29EDEA48A03}">
  <sheetPr>
    <tabColor rgb="FF00B0F0"/>
  </sheetPr>
  <dimension ref="A1"/>
  <sheetViews>
    <sheetView showGridLines="0" zoomScale="75" zoomScaleNormal="75" workbookViewId="0">
      <selection activeCell="AJ37" sqref="AJ37"/>
    </sheetView>
  </sheetViews>
  <sheetFormatPr defaultRowHeight="14.5" x14ac:dyDescent="0.35"/>
  <sheetData>
    <row r="1" spans="1:1" ht="28.5" x14ac:dyDescent="0.65">
      <c r="A1" s="197" t="s">
        <v>144</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5BB9C-63F7-4BB8-9F6E-DD268D3CECAE}">
  <sheetPr>
    <tabColor rgb="FF00B0F0"/>
  </sheetPr>
  <dimension ref="A1:BF187"/>
  <sheetViews>
    <sheetView showGridLines="0" zoomScale="93" zoomScaleNormal="93" workbookViewId="0">
      <selection activeCell="Y25" sqref="Y25"/>
    </sheetView>
  </sheetViews>
  <sheetFormatPr defaultColWidth="9.1796875" defaultRowHeight="14.5" x14ac:dyDescent="0.35"/>
  <cols>
    <col min="1" max="2" width="9.1796875" style="173"/>
    <col min="3" max="3" width="9.1796875" style="195"/>
    <col min="4" max="6" width="9.1796875" style="173"/>
    <col min="7" max="7" width="13.453125" style="173" customWidth="1"/>
    <col min="8" max="8" width="12.1796875" style="173" customWidth="1"/>
    <col min="9" max="9" width="9.1796875" style="173"/>
    <col min="10" max="10" width="11.1796875" style="173" customWidth="1"/>
    <col min="11" max="11" width="13.81640625" style="173" customWidth="1"/>
    <col min="12" max="12" width="10.54296875" style="173" customWidth="1"/>
    <col min="13" max="13" width="10.81640625" style="173" customWidth="1"/>
    <col min="14" max="14" width="11.81640625" style="173" customWidth="1"/>
    <col min="15" max="15" width="13.54296875" style="173" customWidth="1"/>
    <col min="16" max="16" width="12.453125" style="173" customWidth="1"/>
    <col min="17" max="17" width="14.1796875" style="173" customWidth="1"/>
    <col min="18" max="18" width="12.1796875" style="173" customWidth="1"/>
    <col min="19" max="19" width="11.7265625" style="173" customWidth="1"/>
    <col min="20" max="21" width="9.1796875" style="173"/>
    <col min="22" max="22" width="10.7265625" style="178" customWidth="1"/>
    <col min="23" max="23" width="12.26953125" style="178" customWidth="1"/>
    <col min="24" max="24" width="11.54296875" style="178" customWidth="1"/>
    <col min="25" max="25" width="13" style="178" customWidth="1"/>
    <col min="26" max="26" width="12.1796875" style="178" customWidth="1"/>
    <col min="27" max="58" width="8.7265625" style="178" customWidth="1"/>
    <col min="59" max="16384" width="9.1796875" style="173"/>
  </cols>
  <sheetData>
    <row r="1" spans="24:26" s="178" customFormat="1" ht="58" x14ac:dyDescent="0.35">
      <c r="X1" s="177" t="s">
        <v>145</v>
      </c>
      <c r="Y1" s="177" t="s">
        <v>146</v>
      </c>
      <c r="Z1" s="177" t="s">
        <v>147</v>
      </c>
    </row>
    <row r="2" spans="24:26" s="178" customFormat="1" x14ac:dyDescent="0.35">
      <c r="X2" s="179">
        <v>0</v>
      </c>
      <c r="Y2" s="179">
        <v>0.5</v>
      </c>
      <c r="Z2" s="179">
        <v>0.4</v>
      </c>
    </row>
    <row r="3" spans="24:26" s="178" customFormat="1" x14ac:dyDescent="0.35">
      <c r="X3" s="179">
        <v>40</v>
      </c>
      <c r="Y3" s="179">
        <v>0.5</v>
      </c>
      <c r="Z3" s="179">
        <v>0.4</v>
      </c>
    </row>
    <row r="4" spans="24:26" s="178" customFormat="1" x14ac:dyDescent="0.35"/>
    <row r="5" spans="24:26" s="178" customFormat="1" x14ac:dyDescent="0.35"/>
    <row r="6" spans="24:26" s="178" customFormat="1" x14ac:dyDescent="0.35"/>
    <row r="7" spans="24:26" s="178" customFormat="1" x14ac:dyDescent="0.35"/>
    <row r="8" spans="24:26" s="178" customFormat="1" x14ac:dyDescent="0.35"/>
    <row r="9" spans="24:26" s="178" customFormat="1" x14ac:dyDescent="0.35"/>
    <row r="10" spans="24:26" s="178" customFormat="1" x14ac:dyDescent="0.35"/>
    <row r="11" spans="24:26" s="178" customFormat="1" x14ac:dyDescent="0.35"/>
    <row r="12" spans="24:26" s="178" customFormat="1" x14ac:dyDescent="0.35"/>
    <row r="13" spans="24:26" s="178" customFormat="1" x14ac:dyDescent="0.35"/>
    <row r="14" spans="24:26" s="178" customFormat="1" x14ac:dyDescent="0.35"/>
    <row r="15" spans="24:26" s="178" customFormat="1" x14ac:dyDescent="0.35"/>
    <row r="16" spans="24:26" s="178" customFormat="1" x14ac:dyDescent="0.35"/>
    <row r="17" spans="1:29" s="178" customFormat="1" x14ac:dyDescent="0.35"/>
    <row r="18" spans="1:29" s="178" customFormat="1" x14ac:dyDescent="0.35"/>
    <row r="19" spans="1:29" s="178" customFormat="1" x14ac:dyDescent="0.35"/>
    <row r="20" spans="1:29" s="178" customFormat="1" x14ac:dyDescent="0.35"/>
    <row r="21" spans="1:29" s="178" customFormat="1" x14ac:dyDescent="0.35"/>
    <row r="22" spans="1:29" s="178" customFormat="1" x14ac:dyDescent="0.35"/>
    <row r="23" spans="1:29" s="178" customFormat="1" x14ac:dyDescent="0.35"/>
    <row r="24" spans="1:29" s="178" customFormat="1" ht="18" customHeight="1" x14ac:dyDescent="0.35">
      <c r="A24" s="185" t="s">
        <v>448</v>
      </c>
    </row>
    <row r="25" spans="1:29" s="180" customFormat="1" ht="105" customHeight="1" x14ac:dyDescent="0.35">
      <c r="A25" s="180" t="s">
        <v>28</v>
      </c>
      <c r="B25" s="180" t="s">
        <v>97</v>
      </c>
      <c r="C25" s="180" t="s">
        <v>98</v>
      </c>
      <c r="D25" s="180" t="s">
        <v>0</v>
      </c>
      <c r="E25" s="180" t="s">
        <v>99</v>
      </c>
      <c r="F25" s="180" t="s">
        <v>1</v>
      </c>
      <c r="G25" s="180" t="s">
        <v>100</v>
      </c>
      <c r="H25" s="180" t="s">
        <v>101</v>
      </c>
      <c r="I25" s="180" t="s">
        <v>102</v>
      </c>
      <c r="J25" s="180" t="s">
        <v>449</v>
      </c>
      <c r="K25" s="119" t="s">
        <v>104</v>
      </c>
      <c r="L25" s="180" t="s">
        <v>105</v>
      </c>
      <c r="M25" s="180" t="s">
        <v>106</v>
      </c>
      <c r="N25" s="180" t="s">
        <v>64</v>
      </c>
      <c r="O25" s="180" t="s">
        <v>446</v>
      </c>
      <c r="P25" s="180" t="s">
        <v>107</v>
      </c>
      <c r="Q25" s="180" t="s">
        <v>108</v>
      </c>
      <c r="R25" s="196" t="s">
        <v>439</v>
      </c>
      <c r="S25" s="196" t="s">
        <v>440</v>
      </c>
      <c r="T25" s="181" t="s">
        <v>451</v>
      </c>
      <c r="U25" s="180" t="s">
        <v>110</v>
      </c>
      <c r="V25" s="180" t="s">
        <v>111</v>
      </c>
      <c r="W25" s="180" t="s">
        <v>112</v>
      </c>
      <c r="X25" s="119"/>
    </row>
    <row r="26" spans="1:29" s="180" customFormat="1" x14ac:dyDescent="0.35">
      <c r="A26" s="175" t="s">
        <v>119</v>
      </c>
      <c r="B26" s="175" t="s">
        <v>120</v>
      </c>
      <c r="C26" s="193">
        <v>2345828</v>
      </c>
      <c r="D26" s="175" t="s">
        <v>121</v>
      </c>
      <c r="E26" s="175" t="s">
        <v>122</v>
      </c>
      <c r="F26" s="175" t="s">
        <v>6</v>
      </c>
      <c r="G26" s="189">
        <v>1.25</v>
      </c>
      <c r="H26" s="189">
        <v>1.1000000000000001</v>
      </c>
      <c r="I26" s="189">
        <v>68</v>
      </c>
      <c r="J26" s="189">
        <v>80</v>
      </c>
      <c r="K26" s="115">
        <v>12</v>
      </c>
      <c r="L26" s="189">
        <v>170.1</v>
      </c>
      <c r="M26" s="189">
        <v>118.2</v>
      </c>
      <c r="N26" s="190">
        <v>3.9</v>
      </c>
      <c r="O26" s="190">
        <v>0</v>
      </c>
      <c r="P26" s="190">
        <v>0.33</v>
      </c>
      <c r="Q26" s="190">
        <v>0</v>
      </c>
      <c r="R26" s="191">
        <v>0.19</v>
      </c>
      <c r="S26" s="191">
        <v>0</v>
      </c>
      <c r="T26" s="182" t="s">
        <v>66</v>
      </c>
      <c r="X26" s="119"/>
    </row>
    <row r="27" spans="1:29" s="183" customFormat="1" x14ac:dyDescent="0.35">
      <c r="A27" s="175" t="s">
        <v>119</v>
      </c>
      <c r="B27" s="175" t="s">
        <v>120</v>
      </c>
      <c r="C27" s="175">
        <v>2232976</v>
      </c>
      <c r="D27" s="175" t="s">
        <v>121</v>
      </c>
      <c r="E27" s="175" t="s">
        <v>122</v>
      </c>
      <c r="F27" s="175" t="s">
        <v>6</v>
      </c>
      <c r="G27" s="174">
        <v>1.18</v>
      </c>
      <c r="H27" s="174">
        <v>1.51</v>
      </c>
      <c r="I27" s="174">
        <v>59</v>
      </c>
      <c r="J27" s="174">
        <v>80</v>
      </c>
      <c r="K27" s="115">
        <v>14</v>
      </c>
      <c r="L27" s="174">
        <v>171.3</v>
      </c>
      <c r="M27" s="174">
        <v>139.9</v>
      </c>
      <c r="N27" s="23">
        <v>1.5</v>
      </c>
      <c r="O27" s="23">
        <v>0.8</v>
      </c>
      <c r="P27" s="144">
        <f>N27/K27</f>
        <v>0.10714285714285714</v>
      </c>
      <c r="Q27" s="144">
        <f>O27/K27</f>
        <v>5.7142857142857148E-2</v>
      </c>
      <c r="R27" s="144">
        <f>IF(E27="two-thirds",(K27*5.3)/L27,(K27*8)/L27)*P27</f>
        <v>7.0052539404553416E-2</v>
      </c>
      <c r="S27" s="144">
        <f>IF(E27="two-thirds",(K27*5.3)/M27,(K27*8)/M27)*Q27</f>
        <v>4.5746962115796999E-2</v>
      </c>
      <c r="T27" s="182" t="s">
        <v>66</v>
      </c>
      <c r="U27" s="175">
        <v>1.26</v>
      </c>
      <c r="V27" s="174"/>
      <c r="W27" s="174"/>
      <c r="X27" s="174"/>
      <c r="Y27" s="174"/>
      <c r="Z27" s="174"/>
      <c r="AA27" s="174"/>
      <c r="AB27" s="174"/>
      <c r="AC27" s="175"/>
    </row>
    <row r="28" spans="1:29" s="183" customFormat="1" x14ac:dyDescent="0.35">
      <c r="A28" s="175" t="s">
        <v>119</v>
      </c>
      <c r="B28" s="175" t="s">
        <v>120</v>
      </c>
      <c r="C28" s="30"/>
      <c r="D28" s="175" t="s">
        <v>121</v>
      </c>
      <c r="E28" s="175" t="s">
        <v>122</v>
      </c>
      <c r="F28" s="175" t="s">
        <v>6</v>
      </c>
      <c r="G28" s="174">
        <v>0.92</v>
      </c>
      <c r="H28" s="174">
        <v>1.42</v>
      </c>
      <c r="I28" s="174">
        <v>59</v>
      </c>
      <c r="J28" s="174">
        <v>78</v>
      </c>
      <c r="K28" s="115">
        <v>14</v>
      </c>
      <c r="L28" s="174">
        <v>109</v>
      </c>
      <c r="M28" s="174">
        <v>136</v>
      </c>
      <c r="N28" s="23">
        <v>2.8</v>
      </c>
      <c r="O28" s="23">
        <v>1.2</v>
      </c>
      <c r="P28" s="144">
        <f t="shared" ref="P28:P75" si="0">N28/K28</f>
        <v>0.19999999999999998</v>
      </c>
      <c r="Q28" s="144">
        <f>O28/K28</f>
        <v>8.5714285714285715E-2</v>
      </c>
      <c r="R28" s="144">
        <f t="shared" ref="R28:R75" si="1">IF(E28="two-thirds",(K28*5.3)/L28,(K28*8)/L28)*P28</f>
        <v>0.20550458715596329</v>
      </c>
      <c r="S28" s="144">
        <f t="shared" ref="S28:S75" si="2">IF(E28="two-thirds",(K28*5.3)/M28,(K28*8)/M28)*Q28</f>
        <v>7.0588235294117646E-2</v>
      </c>
      <c r="T28" s="182" t="s">
        <v>66</v>
      </c>
      <c r="U28" s="175">
        <v>1.0900000000000001</v>
      </c>
      <c r="V28" s="174"/>
      <c r="W28" s="174"/>
      <c r="X28" s="174"/>
      <c r="Y28" s="174"/>
      <c r="Z28" s="174"/>
      <c r="AA28" s="174"/>
      <c r="AB28" s="174"/>
      <c r="AC28" s="175"/>
    </row>
    <row r="29" spans="1:29" s="183" customFormat="1" x14ac:dyDescent="0.35">
      <c r="A29" s="175" t="s">
        <v>119</v>
      </c>
      <c r="B29" s="175" t="s">
        <v>120</v>
      </c>
      <c r="C29" s="175">
        <v>2247633</v>
      </c>
      <c r="D29" s="175" t="s">
        <v>121</v>
      </c>
      <c r="E29" s="175" t="s">
        <v>122</v>
      </c>
      <c r="F29" s="175" t="s">
        <v>6</v>
      </c>
      <c r="G29" s="174">
        <v>1.41</v>
      </c>
      <c r="H29" s="174">
        <v>1.36</v>
      </c>
      <c r="I29" s="174">
        <v>70</v>
      </c>
      <c r="J29" s="174">
        <v>81</v>
      </c>
      <c r="K29" s="115">
        <v>14</v>
      </c>
      <c r="L29" s="174">
        <v>182.5</v>
      </c>
      <c r="M29" s="174">
        <v>139.1</v>
      </c>
      <c r="N29" s="23">
        <v>8.1</v>
      </c>
      <c r="O29" s="23">
        <v>0</v>
      </c>
      <c r="P29" s="144">
        <f t="shared" si="0"/>
        <v>0.57857142857142851</v>
      </c>
      <c r="Q29" s="144">
        <f t="shared" ref="Q29:Q75" si="3">O29/K29</f>
        <v>0</v>
      </c>
      <c r="R29" s="144">
        <f>IF(E29="two-thirds",(K29*5.3)/L29,(K29*8)/L29)*P29</f>
        <v>0.35506849315068489</v>
      </c>
      <c r="S29" s="144">
        <f t="shared" si="2"/>
        <v>0</v>
      </c>
      <c r="T29" s="182" t="s">
        <v>66</v>
      </c>
      <c r="U29" s="175">
        <v>1.05</v>
      </c>
      <c r="V29" s="174"/>
      <c r="W29" s="174"/>
      <c r="X29" s="174"/>
      <c r="Y29" s="174"/>
      <c r="Z29" s="174"/>
      <c r="AA29" s="174"/>
      <c r="AB29" s="174"/>
      <c r="AC29" s="175"/>
    </row>
    <row r="30" spans="1:29" s="183" customFormat="1" x14ac:dyDescent="0.35">
      <c r="A30" s="175" t="s">
        <v>119</v>
      </c>
      <c r="B30" s="175" t="s">
        <v>120</v>
      </c>
      <c r="C30" s="175">
        <v>2265954</v>
      </c>
      <c r="D30" s="175" t="s">
        <v>121</v>
      </c>
      <c r="E30" s="175" t="s">
        <v>122</v>
      </c>
      <c r="F30" s="175" t="s">
        <v>6</v>
      </c>
      <c r="G30" s="174">
        <v>2.52</v>
      </c>
      <c r="H30" s="174">
        <v>1.74</v>
      </c>
      <c r="I30" s="174">
        <v>65</v>
      </c>
      <c r="J30" s="174">
        <v>81</v>
      </c>
      <c r="K30" s="115">
        <v>20</v>
      </c>
      <c r="L30" s="174">
        <v>347.6</v>
      </c>
      <c r="M30" s="174">
        <v>215.5</v>
      </c>
      <c r="N30" s="23">
        <v>2</v>
      </c>
      <c r="O30" s="23">
        <v>0</v>
      </c>
      <c r="P30" s="144">
        <f t="shared" si="0"/>
        <v>0.1</v>
      </c>
      <c r="Q30" s="144">
        <f t="shared" si="3"/>
        <v>0</v>
      </c>
      <c r="R30" s="144">
        <f t="shared" si="1"/>
        <v>4.6029919447640968E-2</v>
      </c>
      <c r="S30" s="144">
        <f t="shared" si="2"/>
        <v>0</v>
      </c>
      <c r="T30" s="182" t="s">
        <v>66</v>
      </c>
      <c r="U30" s="175">
        <v>1.53</v>
      </c>
      <c r="V30" s="174"/>
      <c r="W30" s="174"/>
      <c r="X30" s="174"/>
      <c r="Y30" s="174"/>
      <c r="Z30" s="174"/>
      <c r="AA30" s="174"/>
      <c r="AB30" s="174"/>
      <c r="AC30" s="175"/>
    </row>
    <row r="31" spans="1:29" s="183" customFormat="1" x14ac:dyDescent="0.35">
      <c r="A31" s="175" t="s">
        <v>119</v>
      </c>
      <c r="B31" s="175" t="s">
        <v>120</v>
      </c>
      <c r="C31" s="175">
        <v>2253464</v>
      </c>
      <c r="D31" s="175" t="s">
        <v>121</v>
      </c>
      <c r="E31" s="175" t="s">
        <v>122</v>
      </c>
      <c r="F31" s="175" t="s">
        <v>6</v>
      </c>
      <c r="G31" s="174">
        <v>1.56</v>
      </c>
      <c r="H31" s="174">
        <v>1.68</v>
      </c>
      <c r="I31" s="174">
        <v>76</v>
      </c>
      <c r="J31" s="174">
        <v>83</v>
      </c>
      <c r="K31" s="115">
        <v>20</v>
      </c>
      <c r="L31" s="174">
        <v>336.5</v>
      </c>
      <c r="M31" s="174">
        <v>232</v>
      </c>
      <c r="N31" s="23">
        <v>0.5</v>
      </c>
      <c r="O31" s="23">
        <v>0</v>
      </c>
      <c r="P31" s="144">
        <f t="shared" si="0"/>
        <v>2.5000000000000001E-2</v>
      </c>
      <c r="Q31" s="144">
        <f t="shared" si="3"/>
        <v>0</v>
      </c>
      <c r="R31" s="144">
        <f t="shared" si="1"/>
        <v>1.188707280832095E-2</v>
      </c>
      <c r="S31" s="144">
        <f t="shared" si="2"/>
        <v>0</v>
      </c>
      <c r="T31" s="182" t="s">
        <v>66</v>
      </c>
      <c r="U31" s="175">
        <v>1.49</v>
      </c>
      <c r="V31" s="174"/>
      <c r="W31" s="174"/>
      <c r="X31" s="174"/>
      <c r="Y31" s="174"/>
      <c r="Z31" s="174"/>
      <c r="AA31" s="174"/>
      <c r="AB31" s="174"/>
      <c r="AC31" s="175"/>
    </row>
    <row r="32" spans="1:29" s="183" customFormat="1" x14ac:dyDescent="0.35">
      <c r="A32" s="175" t="s">
        <v>119</v>
      </c>
      <c r="B32" s="175" t="s">
        <v>120</v>
      </c>
      <c r="C32" s="175"/>
      <c r="D32" s="175" t="s">
        <v>121</v>
      </c>
      <c r="E32" s="175" t="s">
        <v>122</v>
      </c>
      <c r="F32" s="175" t="s">
        <v>6</v>
      </c>
      <c r="G32" s="174">
        <v>2.52</v>
      </c>
      <c r="H32" s="174">
        <v>1.74</v>
      </c>
      <c r="I32" s="174">
        <v>64</v>
      </c>
      <c r="J32" s="174">
        <v>81</v>
      </c>
      <c r="K32" s="115">
        <v>22</v>
      </c>
      <c r="L32" s="174">
        <v>348</v>
      </c>
      <c r="M32" s="174">
        <v>216</v>
      </c>
      <c r="N32" s="23">
        <v>10.6</v>
      </c>
      <c r="O32" s="23">
        <v>0</v>
      </c>
      <c r="P32" s="144">
        <f t="shared" si="0"/>
        <v>0.48181818181818181</v>
      </c>
      <c r="Q32" s="144">
        <f t="shared" si="3"/>
        <v>0</v>
      </c>
      <c r="R32" s="144">
        <f t="shared" si="1"/>
        <v>0.24367816091954025</v>
      </c>
      <c r="S32" s="144">
        <f t="shared" si="2"/>
        <v>0</v>
      </c>
      <c r="T32" s="182" t="s">
        <v>66</v>
      </c>
      <c r="U32" s="175">
        <v>1.5899999999999999</v>
      </c>
      <c r="V32" s="174">
        <v>1.65</v>
      </c>
      <c r="W32" s="174">
        <v>1.53</v>
      </c>
      <c r="X32" s="174"/>
      <c r="Y32" s="174"/>
      <c r="Z32" s="174"/>
      <c r="AA32" s="174"/>
      <c r="AB32" s="174"/>
      <c r="AC32" s="175"/>
    </row>
    <row r="33" spans="1:29" s="183" customFormat="1" x14ac:dyDescent="0.35">
      <c r="A33" s="175" t="s">
        <v>119</v>
      </c>
      <c r="B33" s="175" t="s">
        <v>120</v>
      </c>
      <c r="C33" s="30">
        <v>2341514</v>
      </c>
      <c r="D33" s="175" t="s">
        <v>121</v>
      </c>
      <c r="E33" s="175" t="s">
        <v>123</v>
      </c>
      <c r="F33" s="175" t="s">
        <v>6</v>
      </c>
      <c r="G33" s="174">
        <v>3.55</v>
      </c>
      <c r="H33" s="174">
        <v>2.0099999999999998</v>
      </c>
      <c r="I33" s="174">
        <v>67</v>
      </c>
      <c r="J33" s="174">
        <v>78</v>
      </c>
      <c r="K33" s="115">
        <v>24</v>
      </c>
      <c r="L33" s="174">
        <v>313</v>
      </c>
      <c r="M33" s="174">
        <v>203</v>
      </c>
      <c r="N33" s="23">
        <v>2.7</v>
      </c>
      <c r="O33" s="23">
        <v>0.1</v>
      </c>
      <c r="P33" s="144">
        <f t="shared" si="0"/>
        <v>0.1125</v>
      </c>
      <c r="Q33" s="144">
        <f t="shared" si="3"/>
        <v>4.1666666666666666E-3</v>
      </c>
      <c r="R33" s="144">
        <f t="shared" si="1"/>
        <v>6.9009584664536744E-2</v>
      </c>
      <c r="S33" s="144">
        <f t="shared" si="2"/>
        <v>3.9408866995073889E-3</v>
      </c>
      <c r="T33" s="182" t="s">
        <v>66</v>
      </c>
      <c r="U33" s="175">
        <v>2.2400000000000002</v>
      </c>
      <c r="V33" s="174">
        <v>1.87</v>
      </c>
      <c r="W33" s="174">
        <v>2.61</v>
      </c>
      <c r="X33" s="174"/>
      <c r="Y33" s="174"/>
      <c r="Z33" s="174"/>
      <c r="AA33" s="174"/>
      <c r="AB33" s="174"/>
      <c r="AC33" s="175"/>
    </row>
    <row r="34" spans="1:29" s="183" customFormat="1" x14ac:dyDescent="0.35">
      <c r="A34" s="175" t="s">
        <v>119</v>
      </c>
      <c r="B34" s="175" t="s">
        <v>120</v>
      </c>
      <c r="C34" s="175">
        <v>2289623</v>
      </c>
      <c r="D34" s="175" t="s">
        <v>121</v>
      </c>
      <c r="E34" s="175" t="s">
        <v>122</v>
      </c>
      <c r="F34" s="175" t="s">
        <v>6</v>
      </c>
      <c r="G34" s="174">
        <v>2.13</v>
      </c>
      <c r="H34" s="174">
        <v>1.1100000000000001</v>
      </c>
      <c r="I34" s="174">
        <v>68</v>
      </c>
      <c r="J34" s="174">
        <v>85</v>
      </c>
      <c r="K34" s="115">
        <v>20</v>
      </c>
      <c r="L34" s="174">
        <v>252.67</v>
      </c>
      <c r="M34" s="174">
        <v>197.71</v>
      </c>
      <c r="N34" s="23">
        <v>3.7</v>
      </c>
      <c r="O34" s="23">
        <v>0</v>
      </c>
      <c r="P34" s="144">
        <f t="shared" si="0"/>
        <v>0.185</v>
      </c>
      <c r="Q34" s="144">
        <f t="shared" si="3"/>
        <v>0</v>
      </c>
      <c r="R34" s="144">
        <f t="shared" si="1"/>
        <v>0.11714885027902007</v>
      </c>
      <c r="S34" s="144">
        <f t="shared" si="2"/>
        <v>0</v>
      </c>
      <c r="T34" s="182" t="s">
        <v>66</v>
      </c>
      <c r="U34" s="175"/>
      <c r="V34" s="174"/>
      <c r="W34" s="174"/>
      <c r="X34" s="174"/>
      <c r="Y34" s="174"/>
      <c r="Z34" s="174"/>
      <c r="AA34" s="174"/>
      <c r="AB34" s="174"/>
      <c r="AC34" s="175"/>
    </row>
    <row r="35" spans="1:29" s="183" customFormat="1" x14ac:dyDescent="0.35">
      <c r="A35" s="175" t="s">
        <v>119</v>
      </c>
      <c r="B35" s="175" t="s">
        <v>120</v>
      </c>
      <c r="C35" s="175">
        <v>2289624</v>
      </c>
      <c r="D35" s="175" t="s">
        <v>121</v>
      </c>
      <c r="E35" s="175" t="s">
        <v>123</v>
      </c>
      <c r="F35" s="175" t="s">
        <v>6</v>
      </c>
      <c r="G35" s="174">
        <v>3.24</v>
      </c>
      <c r="H35" s="174">
        <v>1.81</v>
      </c>
      <c r="I35" s="174">
        <v>60</v>
      </c>
      <c r="J35" s="174">
        <v>78</v>
      </c>
      <c r="K35" s="115">
        <v>20</v>
      </c>
      <c r="L35" s="174">
        <v>336.2</v>
      </c>
      <c r="M35" s="174">
        <v>184.68</v>
      </c>
      <c r="N35" s="23">
        <v>7.5</v>
      </c>
      <c r="O35" s="23">
        <v>0</v>
      </c>
      <c r="P35" s="144">
        <f t="shared" si="0"/>
        <v>0.375</v>
      </c>
      <c r="Q35" s="144">
        <f t="shared" si="3"/>
        <v>0</v>
      </c>
      <c r="R35" s="144">
        <f t="shared" si="1"/>
        <v>0.17846519928613921</v>
      </c>
      <c r="S35" s="144">
        <f t="shared" si="2"/>
        <v>0</v>
      </c>
      <c r="T35" s="182" t="s">
        <v>66</v>
      </c>
      <c r="U35" s="175"/>
      <c r="V35" s="174"/>
      <c r="W35" s="174"/>
      <c r="X35" s="174"/>
      <c r="Y35" s="174"/>
      <c r="Z35" s="174"/>
      <c r="AA35" s="174"/>
      <c r="AB35" s="174"/>
      <c r="AC35" s="175"/>
    </row>
    <row r="36" spans="1:29" s="183" customFormat="1" x14ac:dyDescent="0.35">
      <c r="A36" s="175" t="s">
        <v>119</v>
      </c>
      <c r="B36" s="175" t="s">
        <v>120</v>
      </c>
      <c r="C36" s="175">
        <v>2289620</v>
      </c>
      <c r="D36" s="175" t="s">
        <v>121</v>
      </c>
      <c r="E36" s="175" t="s">
        <v>123</v>
      </c>
      <c r="F36" s="175" t="s">
        <v>6</v>
      </c>
      <c r="G36" s="174">
        <v>1.0900000000000001</v>
      </c>
      <c r="H36" s="174">
        <v>0.63</v>
      </c>
      <c r="I36" s="174">
        <v>62</v>
      </c>
      <c r="J36" s="174">
        <v>81</v>
      </c>
      <c r="K36" s="115">
        <v>6</v>
      </c>
      <c r="L36" s="174">
        <v>95.9</v>
      </c>
      <c r="M36" s="174">
        <v>56</v>
      </c>
      <c r="N36" s="23">
        <v>2</v>
      </c>
      <c r="O36" s="23">
        <v>0</v>
      </c>
      <c r="P36" s="144">
        <f t="shared" si="0"/>
        <v>0.33333333333333331</v>
      </c>
      <c r="Q36" s="144">
        <f t="shared" si="3"/>
        <v>0</v>
      </c>
      <c r="R36" s="144">
        <f t="shared" si="1"/>
        <v>0.16684045881126169</v>
      </c>
      <c r="S36" s="144">
        <f t="shared" si="2"/>
        <v>0</v>
      </c>
      <c r="T36" s="182" t="s">
        <v>66</v>
      </c>
      <c r="U36" s="175"/>
      <c r="V36" s="174"/>
      <c r="W36" s="174"/>
      <c r="X36" s="174"/>
      <c r="Y36" s="174"/>
      <c r="Z36" s="174"/>
      <c r="AA36" s="174"/>
      <c r="AB36" s="174"/>
      <c r="AC36" s="175"/>
    </row>
    <row r="37" spans="1:29" s="183" customFormat="1" x14ac:dyDescent="0.35">
      <c r="A37" s="175" t="s">
        <v>119</v>
      </c>
      <c r="B37" s="175" t="s">
        <v>120</v>
      </c>
      <c r="C37" s="175">
        <v>2289627</v>
      </c>
      <c r="D37" s="175" t="s">
        <v>121</v>
      </c>
      <c r="E37" s="175" t="s">
        <v>122</v>
      </c>
      <c r="F37" s="175" t="s">
        <v>6</v>
      </c>
      <c r="G37" s="174">
        <v>2.04</v>
      </c>
      <c r="H37" s="174">
        <v>0.89</v>
      </c>
      <c r="I37" s="174">
        <v>59</v>
      </c>
      <c r="J37" s="174">
        <v>85</v>
      </c>
      <c r="K37" s="115">
        <v>12</v>
      </c>
      <c r="L37" s="174">
        <v>179.76</v>
      </c>
      <c r="M37" s="174">
        <v>123.59</v>
      </c>
      <c r="N37" s="23">
        <v>4.4000000000000004</v>
      </c>
      <c r="O37" s="23">
        <v>0</v>
      </c>
      <c r="P37" s="144">
        <f t="shared" si="0"/>
        <v>0.3666666666666667</v>
      </c>
      <c r="Q37" s="144">
        <f t="shared" si="3"/>
        <v>0</v>
      </c>
      <c r="R37" s="144">
        <f>IF(E37="two-thirds",(K37*5.3)/L37,(K37*8)/L37)*P37</f>
        <v>0.19581664441477531</v>
      </c>
      <c r="S37" s="144">
        <f t="shared" si="2"/>
        <v>0</v>
      </c>
      <c r="T37" s="182" t="s">
        <v>66</v>
      </c>
      <c r="U37" s="175"/>
      <c r="V37" s="174"/>
      <c r="W37" s="174"/>
      <c r="X37" s="174"/>
      <c r="Y37" s="174"/>
      <c r="Z37" s="174"/>
      <c r="AA37" s="174"/>
      <c r="AB37" s="174"/>
      <c r="AC37" s="175"/>
    </row>
    <row r="38" spans="1:29" s="183" customFormat="1" x14ac:dyDescent="0.35">
      <c r="A38" s="175" t="s">
        <v>119</v>
      </c>
      <c r="B38" s="175" t="s">
        <v>120</v>
      </c>
      <c r="C38" s="30">
        <v>2289627</v>
      </c>
      <c r="D38" s="175" t="s">
        <v>121</v>
      </c>
      <c r="E38" s="175" t="s">
        <v>123</v>
      </c>
      <c r="F38" s="175" t="s">
        <v>6</v>
      </c>
      <c r="G38" s="174">
        <v>1.35</v>
      </c>
      <c r="H38" s="174">
        <v>0.59</v>
      </c>
      <c r="I38" s="174">
        <v>63</v>
      </c>
      <c r="J38" s="174">
        <v>78</v>
      </c>
      <c r="K38" s="115">
        <v>6</v>
      </c>
      <c r="L38" s="174">
        <v>78</v>
      </c>
      <c r="M38" s="174">
        <v>57</v>
      </c>
      <c r="N38" s="23">
        <v>3.14</v>
      </c>
      <c r="O38" s="23">
        <v>0</v>
      </c>
      <c r="P38" s="144">
        <f t="shared" si="0"/>
        <v>0.52333333333333332</v>
      </c>
      <c r="Q38" s="144">
        <f t="shared" si="3"/>
        <v>0</v>
      </c>
      <c r="R38" s="144">
        <f t="shared" si="1"/>
        <v>0.32205128205128208</v>
      </c>
      <c r="S38" s="144">
        <f t="shared" si="2"/>
        <v>0</v>
      </c>
      <c r="T38" s="182" t="s">
        <v>66</v>
      </c>
      <c r="U38" s="174">
        <v>0.6</v>
      </c>
      <c r="V38" s="174"/>
      <c r="W38" s="174"/>
      <c r="X38" s="174"/>
      <c r="Y38" s="174"/>
      <c r="Z38" s="174"/>
      <c r="AA38" s="174"/>
      <c r="AB38" s="174"/>
      <c r="AC38" s="175"/>
    </row>
    <row r="39" spans="1:29" s="183" customFormat="1" x14ac:dyDescent="0.35">
      <c r="A39" s="175" t="s">
        <v>119</v>
      </c>
      <c r="B39" s="175" t="s">
        <v>120</v>
      </c>
      <c r="C39" s="175">
        <v>2327174</v>
      </c>
      <c r="D39" s="175" t="s">
        <v>121</v>
      </c>
      <c r="E39" s="175" t="s">
        <v>122</v>
      </c>
      <c r="F39" s="175" t="s">
        <v>6</v>
      </c>
      <c r="G39" s="174">
        <v>3.02</v>
      </c>
      <c r="H39" s="174">
        <v>1.97</v>
      </c>
      <c r="I39" s="174">
        <v>61</v>
      </c>
      <c r="J39" s="174">
        <v>78</v>
      </c>
      <c r="K39" s="115">
        <v>20</v>
      </c>
      <c r="L39" s="174">
        <v>331.09</v>
      </c>
      <c r="M39" s="174">
        <v>233.8</v>
      </c>
      <c r="N39" s="23">
        <v>4.58</v>
      </c>
      <c r="O39" s="23">
        <v>0</v>
      </c>
      <c r="P39" s="144">
        <f t="shared" si="0"/>
        <v>0.22900000000000001</v>
      </c>
      <c r="Q39" s="144">
        <f t="shared" si="3"/>
        <v>0</v>
      </c>
      <c r="R39" s="144">
        <f t="shared" si="1"/>
        <v>0.11066477392853907</v>
      </c>
      <c r="S39" s="144">
        <f t="shared" si="2"/>
        <v>0</v>
      </c>
      <c r="T39" s="182" t="s">
        <v>66</v>
      </c>
      <c r="U39" s="175"/>
      <c r="V39" s="174"/>
      <c r="W39" s="174"/>
      <c r="X39" s="174"/>
      <c r="Y39" s="174"/>
      <c r="Z39" s="174"/>
      <c r="AA39" s="174"/>
      <c r="AB39" s="174"/>
      <c r="AC39" s="175"/>
    </row>
    <row r="40" spans="1:29" s="183" customFormat="1" x14ac:dyDescent="0.35">
      <c r="A40" s="175" t="s">
        <v>119</v>
      </c>
      <c r="B40" s="175" t="s">
        <v>120</v>
      </c>
      <c r="C40" s="175">
        <v>2327297</v>
      </c>
      <c r="D40" s="175" t="s">
        <v>121</v>
      </c>
      <c r="E40" s="175" t="s">
        <v>122</v>
      </c>
      <c r="F40" s="175" t="s">
        <v>6</v>
      </c>
      <c r="G40" s="174">
        <v>2.41</v>
      </c>
      <c r="H40" s="174">
        <v>1.97</v>
      </c>
      <c r="I40" s="174">
        <v>62</v>
      </c>
      <c r="J40" s="174">
        <v>78</v>
      </c>
      <c r="K40" s="115">
        <v>20</v>
      </c>
      <c r="L40" s="174">
        <v>124.54</v>
      </c>
      <c r="M40" s="174">
        <v>233.8</v>
      </c>
      <c r="N40" s="23">
        <v>6.71</v>
      </c>
      <c r="O40" s="23">
        <v>0</v>
      </c>
      <c r="P40" s="144">
        <f t="shared" si="0"/>
        <v>0.33550000000000002</v>
      </c>
      <c r="Q40" s="144">
        <f t="shared" si="3"/>
        <v>0</v>
      </c>
      <c r="R40" s="144">
        <f t="shared" si="1"/>
        <v>0.43102617632889034</v>
      </c>
      <c r="S40" s="144">
        <f t="shared" si="2"/>
        <v>0</v>
      </c>
      <c r="T40" s="182" t="s">
        <v>66</v>
      </c>
      <c r="U40" s="175"/>
      <c r="V40" s="174"/>
      <c r="W40" s="174"/>
      <c r="X40" s="174"/>
      <c r="Y40" s="174"/>
      <c r="Z40" s="174"/>
      <c r="AA40" s="174"/>
      <c r="AB40" s="174"/>
      <c r="AC40" s="175"/>
    </row>
    <row r="41" spans="1:29" s="183" customFormat="1" x14ac:dyDescent="0.35">
      <c r="A41" s="175" t="s">
        <v>119</v>
      </c>
      <c r="B41" s="175" t="s">
        <v>120</v>
      </c>
      <c r="C41" s="175"/>
      <c r="D41" s="175" t="s">
        <v>121</v>
      </c>
      <c r="E41" s="175" t="s">
        <v>122</v>
      </c>
      <c r="F41" s="175" t="s">
        <v>6</v>
      </c>
      <c r="G41" s="174">
        <v>0.87</v>
      </c>
      <c r="H41" s="174">
        <v>0.95</v>
      </c>
      <c r="I41" s="174">
        <v>59</v>
      </c>
      <c r="J41" s="174">
        <v>81</v>
      </c>
      <c r="K41" s="115">
        <v>12</v>
      </c>
      <c r="L41" s="174">
        <v>236</v>
      </c>
      <c r="M41" s="174">
        <v>127</v>
      </c>
      <c r="N41" s="23">
        <v>1.94</v>
      </c>
      <c r="O41" s="23">
        <v>0</v>
      </c>
      <c r="P41" s="144">
        <f t="shared" si="0"/>
        <v>0.16166666666666665</v>
      </c>
      <c r="Q41" s="144">
        <f t="shared" si="3"/>
        <v>0</v>
      </c>
      <c r="R41" s="144">
        <f t="shared" si="1"/>
        <v>6.5762711864406784E-2</v>
      </c>
      <c r="S41" s="144">
        <f t="shared" si="2"/>
        <v>0</v>
      </c>
      <c r="T41" s="182" t="s">
        <v>66</v>
      </c>
      <c r="U41" s="175">
        <v>1</v>
      </c>
      <c r="V41" s="174"/>
      <c r="W41" s="174"/>
      <c r="X41" s="174"/>
      <c r="Y41" s="174"/>
      <c r="Z41" s="174"/>
      <c r="AA41" s="174"/>
      <c r="AB41" s="174"/>
      <c r="AC41" s="175"/>
    </row>
    <row r="42" spans="1:29" s="183" customFormat="1" x14ac:dyDescent="0.35">
      <c r="A42" s="175" t="s">
        <v>119</v>
      </c>
      <c r="B42" s="175" t="s">
        <v>120</v>
      </c>
      <c r="C42" s="175">
        <v>2359356</v>
      </c>
      <c r="D42" s="175" t="s">
        <v>121</v>
      </c>
      <c r="E42" s="175" t="s">
        <v>123</v>
      </c>
      <c r="F42" s="175" t="s">
        <v>6</v>
      </c>
      <c r="G42" s="174">
        <v>0.95</v>
      </c>
      <c r="H42" s="174">
        <v>0.97</v>
      </c>
      <c r="I42" s="174">
        <v>60</v>
      </c>
      <c r="J42" s="174">
        <v>80</v>
      </c>
      <c r="K42" s="115">
        <v>10</v>
      </c>
      <c r="L42" s="174">
        <v>202.6</v>
      </c>
      <c r="M42" s="174">
        <v>108.3</v>
      </c>
      <c r="N42" s="23">
        <v>2.57</v>
      </c>
      <c r="O42" s="23">
        <v>0</v>
      </c>
      <c r="P42" s="144">
        <f t="shared" si="0"/>
        <v>0.25700000000000001</v>
      </c>
      <c r="Q42" s="144">
        <f t="shared" si="3"/>
        <v>0</v>
      </c>
      <c r="R42" s="144">
        <f t="shared" si="1"/>
        <v>0.10148075024679171</v>
      </c>
      <c r="S42" s="144">
        <f t="shared" si="2"/>
        <v>0</v>
      </c>
      <c r="T42" s="182" t="s">
        <v>66</v>
      </c>
      <c r="U42" s="175"/>
      <c r="V42" s="174"/>
      <c r="W42" s="174"/>
      <c r="X42" s="174"/>
      <c r="Y42" s="174"/>
      <c r="Z42" s="174"/>
      <c r="AA42" s="174"/>
      <c r="AB42" s="174"/>
      <c r="AC42" s="175"/>
    </row>
    <row r="43" spans="1:29" s="183" customFormat="1" x14ac:dyDescent="0.35">
      <c r="A43" s="175" t="s">
        <v>119</v>
      </c>
      <c r="B43" s="175" t="s">
        <v>120</v>
      </c>
      <c r="C43" s="175"/>
      <c r="D43" s="175" t="s">
        <v>121</v>
      </c>
      <c r="E43" s="175" t="s">
        <v>122</v>
      </c>
      <c r="F43" s="175" t="s">
        <v>6</v>
      </c>
      <c r="G43" s="174">
        <v>2.0299999999999998</v>
      </c>
      <c r="H43" s="174">
        <v>1.22</v>
      </c>
      <c r="I43" s="174">
        <v>64</v>
      </c>
      <c r="J43" s="174">
        <v>82</v>
      </c>
      <c r="K43" s="115">
        <v>20</v>
      </c>
      <c r="L43" s="174">
        <v>383</v>
      </c>
      <c r="M43" s="174">
        <v>206</v>
      </c>
      <c r="N43" s="23">
        <v>4.46</v>
      </c>
      <c r="O43" s="23">
        <v>0</v>
      </c>
      <c r="P43" s="144">
        <f t="shared" si="0"/>
        <v>0.223</v>
      </c>
      <c r="Q43" s="144">
        <f t="shared" si="3"/>
        <v>0</v>
      </c>
      <c r="R43" s="144">
        <f t="shared" si="1"/>
        <v>9.3159268929503908E-2</v>
      </c>
      <c r="S43" s="144">
        <f t="shared" si="2"/>
        <v>0</v>
      </c>
      <c r="T43" s="182" t="s">
        <v>66</v>
      </c>
      <c r="U43" s="175">
        <v>1.44</v>
      </c>
      <c r="V43" s="174"/>
      <c r="W43" s="174"/>
      <c r="X43" s="174"/>
      <c r="Y43" s="174"/>
      <c r="Z43" s="174"/>
      <c r="AA43" s="174"/>
      <c r="AB43" s="174"/>
      <c r="AC43" s="175"/>
    </row>
    <row r="44" spans="1:29" s="183" customFormat="1" x14ac:dyDescent="0.35">
      <c r="A44" s="175" t="s">
        <v>119</v>
      </c>
      <c r="B44" s="175" t="s">
        <v>120</v>
      </c>
      <c r="C44" s="175"/>
      <c r="D44" s="175" t="s">
        <v>121</v>
      </c>
      <c r="E44" s="175" t="s">
        <v>122</v>
      </c>
      <c r="F44" s="175" t="s">
        <v>6</v>
      </c>
      <c r="G44" s="174">
        <v>3.76</v>
      </c>
      <c r="H44" s="174">
        <v>3</v>
      </c>
      <c r="I44" s="174">
        <v>66</v>
      </c>
      <c r="J44" s="174">
        <v>78</v>
      </c>
      <c r="K44" s="115">
        <v>40</v>
      </c>
      <c r="L44" s="174">
        <v>549.05999999999995</v>
      </c>
      <c r="M44" s="174">
        <v>392.16</v>
      </c>
      <c r="N44" s="23">
        <v>3</v>
      </c>
      <c r="O44" s="23">
        <v>0</v>
      </c>
      <c r="P44" s="144">
        <f t="shared" si="0"/>
        <v>7.4999999999999997E-2</v>
      </c>
      <c r="Q44" s="144">
        <f t="shared" si="3"/>
        <v>0</v>
      </c>
      <c r="R44" s="144">
        <f t="shared" si="1"/>
        <v>4.3711069828434056E-2</v>
      </c>
      <c r="S44" s="144">
        <f t="shared" si="2"/>
        <v>0</v>
      </c>
      <c r="T44" s="182" t="s">
        <v>66</v>
      </c>
      <c r="U44" s="175"/>
      <c r="V44" s="174"/>
      <c r="W44" s="174"/>
      <c r="X44" s="174"/>
      <c r="Y44" s="174"/>
      <c r="Z44" s="174"/>
      <c r="AA44" s="174"/>
      <c r="AB44" s="174"/>
      <c r="AC44" s="175"/>
    </row>
    <row r="45" spans="1:29" s="183" customFormat="1" x14ac:dyDescent="0.35">
      <c r="A45" s="175" t="s">
        <v>119</v>
      </c>
      <c r="B45" s="175" t="s">
        <v>120</v>
      </c>
      <c r="C45" s="175">
        <v>2263533</v>
      </c>
      <c r="D45" s="175" t="s">
        <v>121</v>
      </c>
      <c r="E45" s="175" t="s">
        <v>122</v>
      </c>
      <c r="F45" s="175" t="s">
        <v>6</v>
      </c>
      <c r="G45" s="174">
        <v>1.33</v>
      </c>
      <c r="H45" s="174">
        <v>1.1299999999999999</v>
      </c>
      <c r="I45" s="174">
        <v>65</v>
      </c>
      <c r="J45" s="174">
        <v>79</v>
      </c>
      <c r="K45" s="115">
        <v>12</v>
      </c>
      <c r="L45" s="174">
        <v>179.1</v>
      </c>
      <c r="M45" s="174">
        <v>116.6</v>
      </c>
      <c r="N45" s="23">
        <v>10.5</v>
      </c>
      <c r="O45" s="23">
        <v>0</v>
      </c>
      <c r="P45" s="144">
        <f t="shared" si="0"/>
        <v>0.875</v>
      </c>
      <c r="Q45" s="144">
        <f t="shared" si="3"/>
        <v>0</v>
      </c>
      <c r="R45" s="144">
        <f t="shared" si="1"/>
        <v>0.4690117252931324</v>
      </c>
      <c r="S45" s="144">
        <f t="shared" si="2"/>
        <v>0</v>
      </c>
      <c r="T45" s="182" t="s">
        <v>66</v>
      </c>
      <c r="U45" s="175">
        <v>0.95</v>
      </c>
      <c r="V45" s="174"/>
      <c r="W45" s="174"/>
      <c r="X45" s="174"/>
      <c r="Y45" s="174"/>
      <c r="Z45" s="174"/>
      <c r="AA45" s="174"/>
      <c r="AB45" s="174"/>
      <c r="AC45" s="175"/>
    </row>
    <row r="46" spans="1:29" s="183" customFormat="1" x14ac:dyDescent="0.35">
      <c r="A46" s="175" t="s">
        <v>119</v>
      </c>
      <c r="B46" s="175" t="s">
        <v>120</v>
      </c>
      <c r="C46" s="175">
        <v>2263534</v>
      </c>
      <c r="D46" s="175" t="s">
        <v>121</v>
      </c>
      <c r="E46" s="175" t="s">
        <v>122</v>
      </c>
      <c r="F46" s="175" t="s">
        <v>6</v>
      </c>
      <c r="G46" s="174">
        <v>1.65</v>
      </c>
      <c r="H46" s="174">
        <v>1.57</v>
      </c>
      <c r="I46" s="174">
        <v>63</v>
      </c>
      <c r="J46" s="174">
        <v>83</v>
      </c>
      <c r="K46" s="115">
        <v>20</v>
      </c>
      <c r="L46" s="174">
        <v>287.39999999999998</v>
      </c>
      <c r="M46" s="174">
        <v>191.7</v>
      </c>
      <c r="N46" s="23">
        <v>4.9000000000000004</v>
      </c>
      <c r="O46" s="23">
        <v>3.3</v>
      </c>
      <c r="P46" s="144">
        <f t="shared" si="0"/>
        <v>0.24500000000000002</v>
      </c>
      <c r="Q46" s="144">
        <f t="shared" si="3"/>
        <v>0.16499999999999998</v>
      </c>
      <c r="R46" s="144">
        <f t="shared" si="1"/>
        <v>0.13639526791927628</v>
      </c>
      <c r="S46" s="144">
        <f t="shared" si="2"/>
        <v>0.13771517996870108</v>
      </c>
      <c r="T46" s="182" t="s">
        <v>66</v>
      </c>
      <c r="U46" s="175">
        <v>1.54</v>
      </c>
      <c r="V46" s="174"/>
      <c r="W46" s="174"/>
      <c r="X46" s="174"/>
      <c r="Y46" s="174"/>
      <c r="Z46" s="174"/>
      <c r="AA46" s="174"/>
      <c r="AB46" s="174"/>
      <c r="AC46" s="175"/>
    </row>
    <row r="47" spans="1:29" s="183" customFormat="1" x14ac:dyDescent="0.35">
      <c r="A47" s="175" t="s">
        <v>119</v>
      </c>
      <c r="B47" s="175" t="s">
        <v>120</v>
      </c>
      <c r="C47" s="175">
        <v>2295146</v>
      </c>
      <c r="D47" s="175" t="s">
        <v>121</v>
      </c>
      <c r="E47" s="175" t="s">
        <v>123</v>
      </c>
      <c r="F47" s="175" t="s">
        <v>6</v>
      </c>
      <c r="G47" s="174">
        <v>1.1399999999999999</v>
      </c>
      <c r="H47" s="174">
        <v>1.08</v>
      </c>
      <c r="I47" s="174">
        <v>71</v>
      </c>
      <c r="J47" s="174">
        <v>78</v>
      </c>
      <c r="K47" s="115">
        <v>10</v>
      </c>
      <c r="L47" s="174">
        <v>158.6</v>
      </c>
      <c r="M47" s="174">
        <v>101.7</v>
      </c>
      <c r="N47" s="23">
        <v>17.2</v>
      </c>
      <c r="O47" s="23">
        <v>0</v>
      </c>
      <c r="P47" s="144">
        <v>0.10625</v>
      </c>
      <c r="Q47" s="144">
        <v>0.44062499999999999</v>
      </c>
      <c r="R47" s="144">
        <v>9.746658544451213E-2</v>
      </c>
      <c r="S47" s="144">
        <v>0.41160372194854949</v>
      </c>
      <c r="T47" s="182" t="s">
        <v>66</v>
      </c>
      <c r="U47" s="175"/>
      <c r="V47" s="174"/>
      <c r="W47" s="174"/>
      <c r="X47" s="174"/>
      <c r="Y47" s="174"/>
      <c r="Z47" s="174"/>
      <c r="AA47" s="174"/>
      <c r="AB47" s="174"/>
      <c r="AC47" s="175"/>
    </row>
    <row r="48" spans="1:29" s="183" customFormat="1" x14ac:dyDescent="0.35">
      <c r="A48" s="175" t="s">
        <v>119</v>
      </c>
      <c r="B48" s="175" t="s">
        <v>120</v>
      </c>
      <c r="C48" s="175">
        <v>2252007</v>
      </c>
      <c r="D48" s="175" t="s">
        <v>121</v>
      </c>
      <c r="E48" s="175" t="s">
        <v>122</v>
      </c>
      <c r="F48" s="175" t="s">
        <v>6</v>
      </c>
      <c r="G48" s="174">
        <v>1.65</v>
      </c>
      <c r="H48" s="174">
        <v>1.57</v>
      </c>
      <c r="I48" s="174">
        <v>63</v>
      </c>
      <c r="J48" s="174">
        <v>83</v>
      </c>
      <c r="K48" s="115">
        <v>20</v>
      </c>
      <c r="L48" s="174">
        <v>287.39999999999998</v>
      </c>
      <c r="M48" s="174">
        <v>191.7</v>
      </c>
      <c r="N48" s="23">
        <v>5.27</v>
      </c>
      <c r="O48" s="23">
        <v>0</v>
      </c>
      <c r="P48" s="144">
        <f t="shared" si="0"/>
        <v>0.26349999999999996</v>
      </c>
      <c r="Q48" s="144">
        <f t="shared" si="3"/>
        <v>0</v>
      </c>
      <c r="R48" s="144">
        <f t="shared" si="1"/>
        <v>0.14669450243562976</v>
      </c>
      <c r="S48" s="144">
        <f t="shared" si="2"/>
        <v>0</v>
      </c>
      <c r="T48" s="182" t="s">
        <v>66</v>
      </c>
      <c r="U48" s="175"/>
      <c r="V48" s="174"/>
      <c r="W48" s="174"/>
      <c r="X48" s="174"/>
      <c r="Y48" s="174"/>
      <c r="Z48" s="174"/>
      <c r="AA48" s="174"/>
      <c r="AB48" s="174"/>
      <c r="AC48" s="175"/>
    </row>
    <row r="49" spans="1:29" s="183" customFormat="1" x14ac:dyDescent="0.35">
      <c r="A49" s="175" t="s">
        <v>119</v>
      </c>
      <c r="B49" s="175" t="s">
        <v>120</v>
      </c>
      <c r="C49" s="175">
        <v>2295145</v>
      </c>
      <c r="D49" s="175" t="s">
        <v>121</v>
      </c>
      <c r="E49" s="175" t="s">
        <v>123</v>
      </c>
      <c r="F49" s="175" t="s">
        <v>6</v>
      </c>
      <c r="G49" s="174">
        <v>0.66</v>
      </c>
      <c r="H49" s="174">
        <v>0.73</v>
      </c>
      <c r="I49" s="174">
        <v>65</v>
      </c>
      <c r="J49" s="174">
        <v>81</v>
      </c>
      <c r="K49" s="115">
        <v>5</v>
      </c>
      <c r="L49" s="174">
        <v>65.3</v>
      </c>
      <c r="M49" s="174">
        <v>49.7</v>
      </c>
      <c r="N49" s="23">
        <v>0.2</v>
      </c>
      <c r="O49" s="23">
        <v>0</v>
      </c>
      <c r="P49" s="144">
        <f t="shared" si="0"/>
        <v>0.04</v>
      </c>
      <c r="Q49" s="144">
        <f t="shared" si="3"/>
        <v>0</v>
      </c>
      <c r="R49" s="144">
        <f t="shared" si="1"/>
        <v>2.4502297090352225E-2</v>
      </c>
      <c r="S49" s="144">
        <f t="shared" si="2"/>
        <v>0</v>
      </c>
      <c r="T49" s="182" t="s">
        <v>66</v>
      </c>
      <c r="U49" s="175"/>
      <c r="V49" s="174"/>
      <c r="W49" s="174"/>
      <c r="X49" s="174"/>
      <c r="Y49" s="174"/>
      <c r="Z49" s="174"/>
      <c r="AA49" s="174"/>
      <c r="AB49" s="174"/>
      <c r="AC49" s="175"/>
    </row>
    <row r="50" spans="1:29" s="183" customFormat="1" x14ac:dyDescent="0.35">
      <c r="A50" s="175" t="s">
        <v>119</v>
      </c>
      <c r="B50" s="175" t="s">
        <v>120</v>
      </c>
      <c r="C50" s="175"/>
      <c r="D50" s="175" t="s">
        <v>121</v>
      </c>
      <c r="E50" s="175" t="s">
        <v>122</v>
      </c>
      <c r="F50" s="175" t="s">
        <v>6</v>
      </c>
      <c r="G50" s="174">
        <v>2.66</v>
      </c>
      <c r="H50" s="174">
        <v>2.86</v>
      </c>
      <c r="I50" s="174">
        <v>72.010000000000005</v>
      </c>
      <c r="J50" s="174">
        <v>84.5</v>
      </c>
      <c r="K50" s="115">
        <v>32</v>
      </c>
      <c r="L50" s="174">
        <v>279.07</v>
      </c>
      <c r="M50" s="174">
        <v>274.05</v>
      </c>
      <c r="N50" s="23">
        <v>3.4</v>
      </c>
      <c r="O50" s="23">
        <v>14.1</v>
      </c>
      <c r="P50" s="144">
        <f t="shared" si="0"/>
        <v>0.10625</v>
      </c>
      <c r="Q50" s="144">
        <f t="shared" si="3"/>
        <v>0.44062499999999999</v>
      </c>
      <c r="R50" s="144">
        <f t="shared" si="1"/>
        <v>9.746658544451213E-2</v>
      </c>
      <c r="S50" s="144">
        <f>IF(E50="two-thirds",(K50*5.3)/M50,(K50*8)/M50)*Q50</f>
        <v>0.41160372194854949</v>
      </c>
      <c r="T50" s="182" t="s">
        <v>66</v>
      </c>
      <c r="U50" s="175"/>
      <c r="V50" s="174"/>
      <c r="W50" s="174"/>
      <c r="X50" s="174"/>
      <c r="Y50" s="174"/>
      <c r="Z50" s="174"/>
      <c r="AA50" s="174"/>
      <c r="AB50" s="174"/>
      <c r="AC50" s="175"/>
    </row>
    <row r="51" spans="1:29" s="183" customFormat="1" x14ac:dyDescent="0.35">
      <c r="A51" s="175" t="s">
        <v>119</v>
      </c>
      <c r="B51" s="175" t="s">
        <v>120</v>
      </c>
      <c r="C51" s="194">
        <v>2332637</v>
      </c>
      <c r="D51" s="175" t="s">
        <v>121</v>
      </c>
      <c r="E51" s="175" t="s">
        <v>122</v>
      </c>
      <c r="F51" s="175" t="s">
        <v>6</v>
      </c>
      <c r="G51" s="174">
        <v>2.57</v>
      </c>
      <c r="H51" s="174">
        <v>1.69</v>
      </c>
      <c r="I51" s="174">
        <v>66</v>
      </c>
      <c r="J51" s="174">
        <v>80</v>
      </c>
      <c r="K51" s="115">
        <v>16</v>
      </c>
      <c r="L51" s="174">
        <v>186.1</v>
      </c>
      <c r="M51" s="174">
        <v>148.80000000000001</v>
      </c>
      <c r="N51" s="23">
        <v>1.3</v>
      </c>
      <c r="O51" s="23">
        <v>3.3</v>
      </c>
      <c r="P51" s="144">
        <f t="shared" si="0"/>
        <v>8.1250000000000003E-2</v>
      </c>
      <c r="Q51" s="144">
        <f t="shared" si="3"/>
        <v>0.20624999999999999</v>
      </c>
      <c r="R51" s="144">
        <f t="shared" si="1"/>
        <v>5.5883933369156376E-2</v>
      </c>
      <c r="S51" s="144">
        <f t="shared" si="2"/>
        <v>0.17741935483870966</v>
      </c>
      <c r="T51" s="176" t="s">
        <v>65</v>
      </c>
      <c r="U51" s="174">
        <v>1.32</v>
      </c>
      <c r="V51" s="174"/>
      <c r="W51" s="174"/>
      <c r="X51" s="174"/>
      <c r="Y51" s="174"/>
      <c r="Z51" s="174"/>
      <c r="AA51" s="174"/>
      <c r="AB51" s="174"/>
      <c r="AC51" s="175"/>
    </row>
    <row r="52" spans="1:29" s="183" customFormat="1" x14ac:dyDescent="0.35">
      <c r="A52" s="175" t="s">
        <v>119</v>
      </c>
      <c r="B52" s="175" t="s">
        <v>120</v>
      </c>
      <c r="C52" s="194">
        <v>2226578</v>
      </c>
      <c r="D52" s="175" t="s">
        <v>121</v>
      </c>
      <c r="E52" s="175" t="s">
        <v>123</v>
      </c>
      <c r="F52" s="175" t="s">
        <v>6</v>
      </c>
      <c r="G52" s="174">
        <v>0.71</v>
      </c>
      <c r="H52" s="174">
        <v>1.19</v>
      </c>
      <c r="I52" s="174">
        <v>72</v>
      </c>
      <c r="J52" s="174">
        <v>78</v>
      </c>
      <c r="K52" s="115">
        <v>10</v>
      </c>
      <c r="L52" s="174">
        <v>101.2</v>
      </c>
      <c r="M52" s="174">
        <v>104.4</v>
      </c>
      <c r="N52" s="23">
        <v>2.1</v>
      </c>
      <c r="O52" s="23">
        <v>8.8000000000000007</v>
      </c>
      <c r="P52" s="144">
        <f t="shared" si="0"/>
        <v>0.21000000000000002</v>
      </c>
      <c r="Q52" s="144">
        <f t="shared" si="3"/>
        <v>0.88000000000000012</v>
      </c>
      <c r="R52" s="144">
        <f t="shared" si="1"/>
        <v>0.16600790513833993</v>
      </c>
      <c r="S52" s="144">
        <f t="shared" si="2"/>
        <v>0.67432950191570884</v>
      </c>
      <c r="T52" s="176" t="s">
        <v>65</v>
      </c>
      <c r="U52" s="174">
        <v>0.97</v>
      </c>
      <c r="V52" s="174"/>
      <c r="W52" s="174"/>
      <c r="X52" s="174"/>
      <c r="Y52" s="174"/>
      <c r="Z52" s="174"/>
      <c r="AA52" s="174"/>
      <c r="AB52" s="174"/>
      <c r="AC52" s="175"/>
    </row>
    <row r="53" spans="1:29" s="183" customFormat="1" x14ac:dyDescent="0.35">
      <c r="A53" s="175" t="s">
        <v>119</v>
      </c>
      <c r="B53" s="175" t="s">
        <v>120</v>
      </c>
      <c r="C53" s="194">
        <v>2349743</v>
      </c>
      <c r="D53" s="175" t="s">
        <v>121</v>
      </c>
      <c r="E53" s="175" t="s">
        <v>122</v>
      </c>
      <c r="F53" s="175" t="s">
        <v>6</v>
      </c>
      <c r="G53" s="174">
        <v>1.94</v>
      </c>
      <c r="H53" s="174">
        <v>1.32</v>
      </c>
      <c r="I53" s="174">
        <v>63</v>
      </c>
      <c r="J53" s="174">
        <v>85</v>
      </c>
      <c r="K53" s="115">
        <v>10</v>
      </c>
      <c r="L53" s="174">
        <v>400.7</v>
      </c>
      <c r="M53" s="174">
        <v>188.26</v>
      </c>
      <c r="N53" s="23">
        <v>3.39</v>
      </c>
      <c r="O53" s="23">
        <v>0</v>
      </c>
      <c r="P53" s="144">
        <f t="shared" si="0"/>
        <v>0.33900000000000002</v>
      </c>
      <c r="Q53" s="144">
        <f t="shared" si="3"/>
        <v>0</v>
      </c>
      <c r="R53" s="144">
        <f t="shared" si="1"/>
        <v>6.7681557274769169E-2</v>
      </c>
      <c r="S53" s="144">
        <f t="shared" si="2"/>
        <v>0</v>
      </c>
      <c r="T53" s="176" t="s">
        <v>65</v>
      </c>
      <c r="U53" s="175"/>
      <c r="V53" s="174"/>
      <c r="W53" s="174"/>
      <c r="X53" s="174"/>
      <c r="Y53" s="174"/>
      <c r="Z53" s="174"/>
      <c r="AA53" s="174"/>
      <c r="AB53" s="174"/>
      <c r="AC53" s="175"/>
    </row>
    <row r="54" spans="1:29" s="183" customFormat="1" x14ac:dyDescent="0.35">
      <c r="A54" s="175" t="s">
        <v>119</v>
      </c>
      <c r="B54" s="175" t="s">
        <v>120</v>
      </c>
      <c r="C54" s="194">
        <v>2341560</v>
      </c>
      <c r="D54" s="175" t="s">
        <v>121</v>
      </c>
      <c r="E54" s="175" t="s">
        <v>123</v>
      </c>
      <c r="F54" s="175" t="s">
        <v>6</v>
      </c>
      <c r="G54" s="174">
        <v>0.9</v>
      </c>
      <c r="H54" s="174">
        <v>0.74</v>
      </c>
      <c r="I54" s="174">
        <v>56</v>
      </c>
      <c r="J54" s="174">
        <v>77</v>
      </c>
      <c r="K54" s="115">
        <v>6</v>
      </c>
      <c r="L54" s="174">
        <v>97.26</v>
      </c>
      <c r="M54" s="174">
        <v>65.930000000000007</v>
      </c>
      <c r="N54" s="23">
        <v>0.35</v>
      </c>
      <c r="O54" s="23">
        <v>0</v>
      </c>
      <c r="P54" s="144">
        <f t="shared" si="0"/>
        <v>5.8333333333333327E-2</v>
      </c>
      <c r="Q54" s="144">
        <f t="shared" si="3"/>
        <v>0</v>
      </c>
      <c r="R54" s="144">
        <f t="shared" si="1"/>
        <v>2.8788813489615459E-2</v>
      </c>
      <c r="S54" s="144">
        <f t="shared" si="2"/>
        <v>0</v>
      </c>
      <c r="T54" s="176" t="s">
        <v>65</v>
      </c>
      <c r="U54" s="175"/>
      <c r="V54" s="174"/>
      <c r="W54" s="174"/>
      <c r="X54" s="174"/>
      <c r="Y54" s="174"/>
      <c r="Z54" s="174"/>
      <c r="AA54" s="174"/>
      <c r="AB54" s="174"/>
      <c r="AC54" s="175"/>
    </row>
    <row r="55" spans="1:29" s="183" customFormat="1" x14ac:dyDescent="0.35">
      <c r="A55" s="175" t="s">
        <v>119</v>
      </c>
      <c r="B55" s="175" t="s">
        <v>120</v>
      </c>
      <c r="C55" s="194">
        <v>2349744</v>
      </c>
      <c r="D55" s="175" t="s">
        <v>121</v>
      </c>
      <c r="E55" s="175" t="s">
        <v>122</v>
      </c>
      <c r="F55" s="175" t="s">
        <v>6</v>
      </c>
      <c r="G55" s="174">
        <v>1.42</v>
      </c>
      <c r="H55" s="174">
        <v>1.1200000000000001</v>
      </c>
      <c r="I55" s="174">
        <v>61</v>
      </c>
      <c r="J55" s="174">
        <v>86</v>
      </c>
      <c r="K55" s="115">
        <v>6</v>
      </c>
      <c r="L55" s="174">
        <v>239.17</v>
      </c>
      <c r="M55" s="174">
        <v>118.04</v>
      </c>
      <c r="N55" s="23">
        <v>0.37</v>
      </c>
      <c r="O55" s="23">
        <v>0</v>
      </c>
      <c r="P55" s="144">
        <f t="shared" si="0"/>
        <v>6.1666666666666668E-2</v>
      </c>
      <c r="Q55" s="144">
        <f t="shared" si="3"/>
        <v>0</v>
      </c>
      <c r="R55" s="144">
        <f t="shared" si="1"/>
        <v>1.2376134130534766E-2</v>
      </c>
      <c r="S55" s="144">
        <f t="shared" si="2"/>
        <v>0</v>
      </c>
      <c r="T55" s="176" t="s">
        <v>65</v>
      </c>
      <c r="U55" s="175"/>
      <c r="V55" s="174"/>
      <c r="W55" s="174"/>
      <c r="X55" s="174"/>
      <c r="Y55" s="174"/>
      <c r="Z55" s="174"/>
      <c r="AA55" s="174"/>
      <c r="AB55" s="174"/>
      <c r="AC55" s="175"/>
    </row>
    <row r="56" spans="1:29" s="183" customFormat="1" x14ac:dyDescent="0.35">
      <c r="A56" s="175" t="s">
        <v>119</v>
      </c>
      <c r="B56" s="175" t="s">
        <v>120</v>
      </c>
      <c r="C56" s="194">
        <v>2289621</v>
      </c>
      <c r="D56" s="175" t="s">
        <v>121</v>
      </c>
      <c r="E56" s="175" t="s">
        <v>123</v>
      </c>
      <c r="F56" s="175" t="s">
        <v>6</v>
      </c>
      <c r="G56" s="174">
        <v>1.3</v>
      </c>
      <c r="H56" s="174">
        <v>0.87</v>
      </c>
      <c r="I56" s="174">
        <v>58</v>
      </c>
      <c r="J56" s="174">
        <v>77</v>
      </c>
      <c r="K56" s="115">
        <v>6</v>
      </c>
      <c r="L56" s="174">
        <v>93.4</v>
      </c>
      <c r="M56" s="174">
        <v>63.7</v>
      </c>
      <c r="N56" s="23">
        <v>3.8</v>
      </c>
      <c r="O56" s="23">
        <v>0</v>
      </c>
      <c r="P56" s="144">
        <f t="shared" si="0"/>
        <v>0.6333333333333333</v>
      </c>
      <c r="Q56" s="144">
        <f t="shared" si="3"/>
        <v>0</v>
      </c>
      <c r="R56" s="144">
        <f t="shared" si="1"/>
        <v>0.32548179871520339</v>
      </c>
      <c r="S56" s="144">
        <f t="shared" si="2"/>
        <v>0</v>
      </c>
      <c r="T56" s="176" t="s">
        <v>65</v>
      </c>
      <c r="U56" s="175"/>
      <c r="V56" s="174"/>
      <c r="W56" s="174"/>
      <c r="X56" s="174"/>
      <c r="Y56" s="174"/>
      <c r="Z56" s="174"/>
      <c r="AA56" s="174"/>
      <c r="AB56" s="174"/>
      <c r="AC56" s="175"/>
    </row>
    <row r="57" spans="1:29" s="183" customFormat="1" x14ac:dyDescent="0.35">
      <c r="A57" s="175" t="s">
        <v>119</v>
      </c>
      <c r="B57" s="175" t="s">
        <v>120</v>
      </c>
      <c r="C57" s="194">
        <v>2327320</v>
      </c>
      <c r="D57" s="175" t="s">
        <v>121</v>
      </c>
      <c r="E57" s="175" t="s">
        <v>122</v>
      </c>
      <c r="F57" s="175" t="s">
        <v>6</v>
      </c>
      <c r="G57" s="174">
        <v>1.46</v>
      </c>
      <c r="H57" s="174">
        <v>1.03</v>
      </c>
      <c r="I57" s="174">
        <v>63</v>
      </c>
      <c r="J57" s="174">
        <v>78</v>
      </c>
      <c r="K57" s="115">
        <v>7</v>
      </c>
      <c r="L57" s="174">
        <v>106.7</v>
      </c>
      <c r="M57" s="174">
        <v>83.5</v>
      </c>
      <c r="N57" s="23">
        <v>10.67</v>
      </c>
      <c r="O57" s="23">
        <v>0</v>
      </c>
      <c r="P57" s="144">
        <f t="shared" si="0"/>
        <v>1.5242857142857142</v>
      </c>
      <c r="Q57" s="144">
        <f t="shared" si="3"/>
        <v>0</v>
      </c>
      <c r="R57" s="144">
        <f t="shared" si="1"/>
        <v>0.8</v>
      </c>
      <c r="S57" s="144">
        <f t="shared" si="2"/>
        <v>0</v>
      </c>
      <c r="T57" s="176" t="s">
        <v>65</v>
      </c>
      <c r="U57" s="174">
        <v>0.79</v>
      </c>
      <c r="V57" s="174"/>
      <c r="W57" s="174"/>
      <c r="X57" s="174"/>
      <c r="Y57" s="174"/>
      <c r="Z57" s="174"/>
      <c r="AA57" s="174"/>
      <c r="AB57" s="174"/>
      <c r="AC57" s="175"/>
    </row>
    <row r="58" spans="1:29" s="183" customFormat="1" x14ac:dyDescent="0.35">
      <c r="A58" s="175" t="s">
        <v>119</v>
      </c>
      <c r="B58" s="175" t="s">
        <v>120</v>
      </c>
      <c r="C58" s="194">
        <v>2294237</v>
      </c>
      <c r="D58" s="175" t="s">
        <v>121</v>
      </c>
      <c r="E58" s="175" t="s">
        <v>122</v>
      </c>
      <c r="F58" s="175" t="s">
        <v>6</v>
      </c>
      <c r="G58" s="174">
        <v>1.96</v>
      </c>
      <c r="H58" s="174">
        <v>1.6</v>
      </c>
      <c r="I58" s="174">
        <v>67</v>
      </c>
      <c r="J58" s="174">
        <v>81</v>
      </c>
      <c r="K58" s="115">
        <v>14</v>
      </c>
      <c r="L58" s="174">
        <v>196.2</v>
      </c>
      <c r="M58" s="174">
        <v>139.4</v>
      </c>
      <c r="N58" s="23">
        <v>5.47</v>
      </c>
      <c r="O58" s="23">
        <v>0.03</v>
      </c>
      <c r="P58" s="144">
        <f t="shared" si="0"/>
        <v>0.39071428571428568</v>
      </c>
      <c r="Q58" s="144">
        <f t="shared" si="3"/>
        <v>2.142857142857143E-3</v>
      </c>
      <c r="R58" s="144">
        <f t="shared" si="1"/>
        <v>0.22303771661569824</v>
      </c>
      <c r="S58" s="144">
        <f t="shared" si="2"/>
        <v>1.7216642754662843E-3</v>
      </c>
      <c r="T58" s="176" t="s">
        <v>65</v>
      </c>
      <c r="U58" s="174">
        <v>1.25</v>
      </c>
      <c r="V58" s="174"/>
      <c r="W58" s="174"/>
      <c r="X58" s="174"/>
      <c r="Y58" s="174"/>
      <c r="Z58" s="174"/>
      <c r="AA58" s="174"/>
      <c r="AB58" s="174"/>
      <c r="AC58" s="175"/>
    </row>
    <row r="59" spans="1:29" s="183" customFormat="1" x14ac:dyDescent="0.35">
      <c r="A59" s="175" t="s">
        <v>119</v>
      </c>
      <c r="B59" s="175" t="s">
        <v>120</v>
      </c>
      <c r="C59" s="194">
        <v>2327392</v>
      </c>
      <c r="D59" s="175" t="s">
        <v>121</v>
      </c>
      <c r="E59" s="175" t="s">
        <v>122</v>
      </c>
      <c r="F59" s="175" t="s">
        <v>6</v>
      </c>
      <c r="G59" s="174">
        <v>1.63</v>
      </c>
      <c r="H59" s="174">
        <v>1.21</v>
      </c>
      <c r="I59" s="174">
        <v>63</v>
      </c>
      <c r="J59" s="174">
        <v>82</v>
      </c>
      <c r="K59" s="115">
        <v>10</v>
      </c>
      <c r="L59" s="174">
        <v>174.8</v>
      </c>
      <c r="M59" s="174">
        <v>110.2</v>
      </c>
      <c r="N59" s="23">
        <v>11.47</v>
      </c>
      <c r="O59" s="23">
        <v>0</v>
      </c>
      <c r="P59" s="144">
        <f t="shared" si="0"/>
        <v>1.147</v>
      </c>
      <c r="Q59" s="144">
        <f t="shared" si="3"/>
        <v>0</v>
      </c>
      <c r="R59" s="144">
        <f t="shared" si="1"/>
        <v>0.52494279176201375</v>
      </c>
      <c r="S59" s="144">
        <f t="shared" si="2"/>
        <v>0</v>
      </c>
      <c r="T59" s="176" t="s">
        <v>65</v>
      </c>
      <c r="U59" s="174">
        <v>1.1299999999999999</v>
      </c>
      <c r="V59" s="174"/>
      <c r="W59" s="174"/>
      <c r="X59" s="174"/>
      <c r="Y59" s="174"/>
      <c r="Z59" s="174"/>
      <c r="AA59" s="174"/>
      <c r="AB59" s="174"/>
      <c r="AC59" s="175"/>
    </row>
    <row r="60" spans="1:29" s="183" customFormat="1" x14ac:dyDescent="0.35">
      <c r="A60" s="175" t="s">
        <v>119</v>
      </c>
      <c r="B60" s="175" t="s">
        <v>120</v>
      </c>
      <c r="C60" s="194">
        <v>2327462</v>
      </c>
      <c r="D60" s="175" t="s">
        <v>121</v>
      </c>
      <c r="E60" s="175" t="s">
        <v>122</v>
      </c>
      <c r="F60" s="175" t="s">
        <v>6</v>
      </c>
      <c r="G60" s="174">
        <v>1.42</v>
      </c>
      <c r="H60" s="174">
        <v>1.03</v>
      </c>
      <c r="I60" s="174">
        <v>66</v>
      </c>
      <c r="J60" s="174">
        <v>78</v>
      </c>
      <c r="K60" s="115">
        <v>7</v>
      </c>
      <c r="L60" s="174">
        <v>92.1</v>
      </c>
      <c r="M60" s="174">
        <v>83.5</v>
      </c>
      <c r="N60" s="23">
        <v>7.8</v>
      </c>
      <c r="O60" s="23">
        <v>0.1</v>
      </c>
      <c r="P60" s="144">
        <f t="shared" si="0"/>
        <v>1.1142857142857143</v>
      </c>
      <c r="Q60" s="144">
        <f t="shared" si="3"/>
        <v>1.4285714285714287E-2</v>
      </c>
      <c r="R60" s="144">
        <f t="shared" si="1"/>
        <v>0.67752442996742679</v>
      </c>
      <c r="S60" s="144">
        <f t="shared" si="2"/>
        <v>9.5808383233532933E-3</v>
      </c>
      <c r="T60" s="176" t="s">
        <v>65</v>
      </c>
      <c r="U60" s="174">
        <v>0.79</v>
      </c>
      <c r="V60" s="174"/>
      <c r="W60" s="174"/>
      <c r="X60" s="174"/>
      <c r="Y60" s="174"/>
      <c r="Z60" s="174"/>
      <c r="AA60" s="174"/>
      <c r="AB60" s="174"/>
      <c r="AC60" s="175"/>
    </row>
    <row r="61" spans="1:29" s="183" customFormat="1" x14ac:dyDescent="0.35">
      <c r="A61" s="175" t="s">
        <v>119</v>
      </c>
      <c r="B61" s="175" t="s">
        <v>120</v>
      </c>
      <c r="C61" s="194">
        <v>2327407</v>
      </c>
      <c r="D61" s="175" t="s">
        <v>121</v>
      </c>
      <c r="E61" s="175" t="s">
        <v>122</v>
      </c>
      <c r="F61" s="175" t="s">
        <v>6</v>
      </c>
      <c r="G61" s="174">
        <v>1.1299999999999999</v>
      </c>
      <c r="H61" s="174">
        <v>1.27</v>
      </c>
      <c r="I61" s="174">
        <v>70</v>
      </c>
      <c r="J61" s="174">
        <v>81</v>
      </c>
      <c r="K61" s="115">
        <v>14</v>
      </c>
      <c r="L61" s="174">
        <v>128.19999999999999</v>
      </c>
      <c r="M61" s="174">
        <v>138.30000000000001</v>
      </c>
      <c r="N61" s="23">
        <v>0.2</v>
      </c>
      <c r="O61" s="23">
        <v>0</v>
      </c>
      <c r="P61" s="144">
        <f t="shared" si="0"/>
        <v>1.4285714285714287E-2</v>
      </c>
      <c r="Q61" s="144">
        <f t="shared" si="3"/>
        <v>0</v>
      </c>
      <c r="R61" s="144">
        <f t="shared" si="1"/>
        <v>1.2480499219968801E-2</v>
      </c>
      <c r="S61" s="144">
        <f t="shared" si="2"/>
        <v>0</v>
      </c>
      <c r="T61" s="144" t="s">
        <v>66</v>
      </c>
      <c r="U61" s="174">
        <v>1.56</v>
      </c>
      <c r="V61" s="174"/>
      <c r="W61" s="174"/>
      <c r="X61" s="174"/>
      <c r="Y61" s="174"/>
      <c r="Z61" s="174"/>
      <c r="AA61" s="174"/>
      <c r="AB61" s="174"/>
      <c r="AC61" s="175"/>
    </row>
    <row r="62" spans="1:29" s="183" customFormat="1" x14ac:dyDescent="0.35">
      <c r="A62" s="175" t="s">
        <v>119</v>
      </c>
      <c r="B62" s="175" t="s">
        <v>120</v>
      </c>
      <c r="C62" s="194">
        <v>2327405</v>
      </c>
      <c r="D62" s="175" t="s">
        <v>121</v>
      </c>
      <c r="E62" s="175" t="s">
        <v>122</v>
      </c>
      <c r="F62" s="175" t="s">
        <v>6</v>
      </c>
      <c r="G62" s="174">
        <v>1.22</v>
      </c>
      <c r="H62" s="174">
        <v>1.21</v>
      </c>
      <c r="I62" s="174">
        <v>66</v>
      </c>
      <c r="J62" s="174">
        <v>82</v>
      </c>
      <c r="K62" s="115">
        <v>10</v>
      </c>
      <c r="L62" s="174">
        <v>97.9</v>
      </c>
      <c r="M62" s="174">
        <v>110.2</v>
      </c>
      <c r="N62" s="23">
        <v>6.8</v>
      </c>
      <c r="O62" s="23">
        <v>0.2</v>
      </c>
      <c r="P62" s="144">
        <f t="shared" si="0"/>
        <v>0.67999999999999994</v>
      </c>
      <c r="Q62" s="144">
        <f t="shared" si="3"/>
        <v>0.02</v>
      </c>
      <c r="R62" s="144">
        <f t="shared" si="1"/>
        <v>0.55566905005107237</v>
      </c>
      <c r="S62" s="144">
        <f t="shared" si="2"/>
        <v>1.4519056261343014E-2</v>
      </c>
      <c r="T62" s="176" t="s">
        <v>65</v>
      </c>
      <c r="U62" s="174">
        <v>1.1299999999999999</v>
      </c>
      <c r="V62" s="174"/>
      <c r="W62" s="174"/>
      <c r="X62" s="174"/>
      <c r="Y62" s="174"/>
      <c r="Z62" s="174"/>
      <c r="AA62" s="174"/>
      <c r="AB62" s="174"/>
      <c r="AC62" s="175"/>
    </row>
    <row r="63" spans="1:29" s="183" customFormat="1" x14ac:dyDescent="0.35">
      <c r="A63" s="175" t="s">
        <v>119</v>
      </c>
      <c r="B63" s="175" t="s">
        <v>120</v>
      </c>
      <c r="C63" s="194">
        <v>2327406</v>
      </c>
      <c r="D63" s="175" t="s">
        <v>121</v>
      </c>
      <c r="E63" s="175" t="s">
        <v>122</v>
      </c>
      <c r="F63" s="175" t="s">
        <v>6</v>
      </c>
      <c r="G63" s="174">
        <v>1.93</v>
      </c>
      <c r="H63" s="174">
        <v>1.76</v>
      </c>
      <c r="I63" s="174">
        <v>72</v>
      </c>
      <c r="J63" s="174">
        <v>84</v>
      </c>
      <c r="K63" s="115">
        <v>20</v>
      </c>
      <c r="L63" s="174">
        <v>185.5</v>
      </c>
      <c r="M63" s="174">
        <v>195.6</v>
      </c>
      <c r="N63" s="23">
        <v>2.92</v>
      </c>
      <c r="O63" s="23">
        <v>0</v>
      </c>
      <c r="P63" s="144">
        <f t="shared" si="0"/>
        <v>0.14599999999999999</v>
      </c>
      <c r="Q63" s="144">
        <f t="shared" si="3"/>
        <v>0</v>
      </c>
      <c r="R63" s="144">
        <f t="shared" si="1"/>
        <v>0.12592991913746632</v>
      </c>
      <c r="S63" s="144">
        <f t="shared" si="2"/>
        <v>0</v>
      </c>
      <c r="T63" s="144" t="s">
        <v>66</v>
      </c>
      <c r="U63" s="174">
        <v>1.56</v>
      </c>
      <c r="V63" s="174"/>
      <c r="W63" s="174"/>
      <c r="X63" s="174"/>
      <c r="Y63" s="174"/>
      <c r="Z63" s="174"/>
      <c r="AA63" s="174"/>
      <c r="AB63" s="174"/>
      <c r="AC63" s="175"/>
    </row>
    <row r="64" spans="1:29" s="183" customFormat="1" x14ac:dyDescent="0.35">
      <c r="A64" s="175" t="s">
        <v>119</v>
      </c>
      <c r="B64" s="175" t="s">
        <v>120</v>
      </c>
      <c r="C64" s="194">
        <v>2232234</v>
      </c>
      <c r="D64" s="175" t="s">
        <v>121</v>
      </c>
      <c r="E64" s="175" t="s">
        <v>123</v>
      </c>
      <c r="F64" s="175" t="s">
        <v>6</v>
      </c>
      <c r="G64" s="174">
        <v>1.01</v>
      </c>
      <c r="H64" s="174">
        <v>0.95</v>
      </c>
      <c r="I64" s="174">
        <v>55</v>
      </c>
      <c r="J64" s="174">
        <v>76</v>
      </c>
      <c r="K64" s="115">
        <v>6</v>
      </c>
      <c r="L64" s="174">
        <v>109.19</v>
      </c>
      <c r="M64" s="174">
        <v>65.28</v>
      </c>
      <c r="N64" s="23">
        <v>0.27</v>
      </c>
      <c r="O64" s="23">
        <v>0</v>
      </c>
      <c r="P64" s="144">
        <f t="shared" si="0"/>
        <v>4.5000000000000005E-2</v>
      </c>
      <c r="Q64" s="144">
        <f t="shared" si="3"/>
        <v>0</v>
      </c>
      <c r="R64" s="144">
        <f t="shared" si="1"/>
        <v>1.9782031321549595E-2</v>
      </c>
      <c r="S64" s="144">
        <f t="shared" si="2"/>
        <v>0</v>
      </c>
      <c r="T64" s="176" t="s">
        <v>65</v>
      </c>
      <c r="U64" s="175"/>
      <c r="V64" s="174"/>
      <c r="W64" s="174"/>
      <c r="X64" s="174"/>
      <c r="Y64" s="174"/>
      <c r="Z64" s="174"/>
      <c r="AA64" s="174"/>
      <c r="AB64" s="174"/>
      <c r="AC64" s="175"/>
    </row>
    <row r="65" spans="1:29" s="183" customFormat="1" x14ac:dyDescent="0.35">
      <c r="A65" s="175" t="s">
        <v>119</v>
      </c>
      <c r="B65" s="175" t="s">
        <v>120</v>
      </c>
      <c r="C65" s="194">
        <v>2232235</v>
      </c>
      <c r="D65" s="175" t="s">
        <v>121</v>
      </c>
      <c r="E65" s="175" t="s">
        <v>122</v>
      </c>
      <c r="F65" s="175" t="s">
        <v>6</v>
      </c>
      <c r="G65" s="174">
        <v>1.19</v>
      </c>
      <c r="H65" s="174">
        <v>1.31</v>
      </c>
      <c r="I65" s="174">
        <v>58</v>
      </c>
      <c r="J65" s="174">
        <v>80</v>
      </c>
      <c r="K65" s="115">
        <v>6</v>
      </c>
      <c r="L65" s="174">
        <v>210.28</v>
      </c>
      <c r="M65" s="174">
        <v>121.03</v>
      </c>
      <c r="N65" s="23">
        <v>14.4</v>
      </c>
      <c r="O65" s="23">
        <v>0</v>
      </c>
      <c r="P65" s="144">
        <f t="shared" si="0"/>
        <v>2.4</v>
      </c>
      <c r="Q65" s="144">
        <f t="shared" si="3"/>
        <v>0</v>
      </c>
      <c r="R65" s="144">
        <f t="shared" si="1"/>
        <v>0.54784097393950915</v>
      </c>
      <c r="S65" s="144">
        <f t="shared" si="2"/>
        <v>0</v>
      </c>
      <c r="T65" s="176" t="s">
        <v>65</v>
      </c>
      <c r="U65" s="175"/>
      <c r="V65" s="174"/>
      <c r="W65" s="174"/>
      <c r="X65" s="174"/>
      <c r="Y65" s="174"/>
      <c r="Z65" s="174"/>
      <c r="AA65" s="174"/>
      <c r="AB65" s="174"/>
      <c r="AC65" s="175"/>
    </row>
    <row r="66" spans="1:29" s="183" customFormat="1" x14ac:dyDescent="0.35">
      <c r="A66" s="175" t="s">
        <v>119</v>
      </c>
      <c r="B66" s="175" t="s">
        <v>120</v>
      </c>
      <c r="C66" s="194">
        <v>2359355</v>
      </c>
      <c r="D66" s="175" t="s">
        <v>121</v>
      </c>
      <c r="E66" s="175" t="s">
        <v>123</v>
      </c>
      <c r="F66" s="175" t="s">
        <v>6</v>
      </c>
      <c r="G66" s="174">
        <v>0.92</v>
      </c>
      <c r="H66" s="174">
        <v>0.7</v>
      </c>
      <c r="I66" s="174">
        <v>56</v>
      </c>
      <c r="J66" s="174">
        <v>77</v>
      </c>
      <c r="K66" s="115">
        <v>6</v>
      </c>
      <c r="L66" s="174">
        <v>118.2</v>
      </c>
      <c r="M66" s="174">
        <v>65.400000000000006</v>
      </c>
      <c r="N66" s="23">
        <v>1.56</v>
      </c>
      <c r="O66" s="23">
        <v>0</v>
      </c>
      <c r="P66" s="144">
        <f t="shared" si="0"/>
        <v>0.26</v>
      </c>
      <c r="Q66" s="144">
        <f t="shared" si="3"/>
        <v>0</v>
      </c>
      <c r="R66" s="144">
        <f t="shared" si="1"/>
        <v>0.10558375634517767</v>
      </c>
      <c r="S66" s="144">
        <f t="shared" si="2"/>
        <v>0</v>
      </c>
      <c r="T66" s="176" t="s">
        <v>65</v>
      </c>
      <c r="U66" s="175"/>
      <c r="V66" s="174"/>
      <c r="W66" s="174"/>
      <c r="X66" s="174"/>
      <c r="Y66" s="174"/>
      <c r="Z66" s="174"/>
      <c r="AA66" s="174"/>
      <c r="AB66" s="174"/>
      <c r="AC66" s="175"/>
    </row>
    <row r="67" spans="1:29" s="183" customFormat="1" x14ac:dyDescent="0.35">
      <c r="A67" s="175" t="s">
        <v>119</v>
      </c>
      <c r="B67" s="175" t="s">
        <v>120</v>
      </c>
      <c r="C67" s="194">
        <v>2359351</v>
      </c>
      <c r="D67" s="175" t="s">
        <v>121</v>
      </c>
      <c r="E67" s="175" t="s">
        <v>123</v>
      </c>
      <c r="F67" s="175" t="s">
        <v>6</v>
      </c>
      <c r="G67" s="174">
        <v>2.2400000000000002</v>
      </c>
      <c r="H67" s="174">
        <v>1.74</v>
      </c>
      <c r="I67" s="174">
        <v>55</v>
      </c>
      <c r="J67" s="174">
        <v>76</v>
      </c>
      <c r="K67" s="115">
        <v>20</v>
      </c>
      <c r="L67" s="174">
        <v>382.6</v>
      </c>
      <c r="M67" s="174">
        <v>187.11</v>
      </c>
      <c r="N67" s="23">
        <v>2.88</v>
      </c>
      <c r="O67" s="23">
        <v>0</v>
      </c>
      <c r="P67" s="144">
        <f t="shared" si="0"/>
        <v>0.14399999999999999</v>
      </c>
      <c r="Q67" s="144">
        <f t="shared" si="3"/>
        <v>0</v>
      </c>
      <c r="R67" s="144">
        <f t="shared" si="1"/>
        <v>6.0219550444328272E-2</v>
      </c>
      <c r="S67" s="144">
        <f t="shared" si="2"/>
        <v>0</v>
      </c>
      <c r="T67" s="176" t="s">
        <v>65</v>
      </c>
      <c r="U67" s="175"/>
      <c r="V67" s="174"/>
      <c r="W67" s="174"/>
      <c r="X67" s="174"/>
      <c r="Y67" s="174"/>
      <c r="Z67" s="174"/>
      <c r="AA67" s="174"/>
      <c r="AB67" s="174"/>
      <c r="AC67" s="175"/>
    </row>
    <row r="68" spans="1:29" s="183" customFormat="1" x14ac:dyDescent="0.35">
      <c r="A68" s="175" t="s">
        <v>119</v>
      </c>
      <c r="B68" s="175" t="s">
        <v>120</v>
      </c>
      <c r="C68" s="194">
        <v>2277280</v>
      </c>
      <c r="D68" s="175" t="s">
        <v>121</v>
      </c>
      <c r="E68" s="175" t="s">
        <v>123</v>
      </c>
      <c r="F68" s="175" t="s">
        <v>6</v>
      </c>
      <c r="G68" s="174">
        <v>1.1100000000000001</v>
      </c>
      <c r="H68" s="174">
        <v>1.25</v>
      </c>
      <c r="I68" s="174">
        <v>63</v>
      </c>
      <c r="J68" s="174">
        <v>79</v>
      </c>
      <c r="K68" s="115">
        <v>10</v>
      </c>
      <c r="L68" s="174">
        <v>108.16</v>
      </c>
      <c r="M68" s="174">
        <v>87.39</v>
      </c>
      <c r="N68" s="23">
        <v>21.3</v>
      </c>
      <c r="O68" s="23">
        <v>0</v>
      </c>
      <c r="P68" s="144">
        <f t="shared" si="0"/>
        <v>2.13</v>
      </c>
      <c r="Q68" s="144">
        <f t="shared" si="3"/>
        <v>0</v>
      </c>
      <c r="R68" s="144">
        <f t="shared" si="1"/>
        <v>1.5754437869822484</v>
      </c>
      <c r="S68" s="144">
        <f t="shared" si="2"/>
        <v>0</v>
      </c>
      <c r="T68" s="176" t="s">
        <v>65</v>
      </c>
      <c r="U68" s="175"/>
      <c r="V68" s="174"/>
      <c r="W68" s="174"/>
      <c r="X68" s="174"/>
      <c r="Y68" s="174"/>
      <c r="Z68" s="174"/>
      <c r="AA68" s="174"/>
      <c r="AB68" s="174"/>
      <c r="AC68" s="175"/>
    </row>
    <row r="69" spans="1:29" s="183" customFormat="1" x14ac:dyDescent="0.35">
      <c r="A69" s="175" t="s">
        <v>119</v>
      </c>
      <c r="B69" s="175" t="s">
        <v>120</v>
      </c>
      <c r="C69" s="194">
        <v>2277281</v>
      </c>
      <c r="D69" s="175" t="s">
        <v>121</v>
      </c>
      <c r="E69" s="175" t="s">
        <v>123</v>
      </c>
      <c r="F69" s="175" t="s">
        <v>6</v>
      </c>
      <c r="G69" s="174">
        <v>1.0900000000000001</v>
      </c>
      <c r="H69" s="174">
        <v>1.27</v>
      </c>
      <c r="I69" s="174">
        <v>68</v>
      </c>
      <c r="J69" s="174">
        <v>82</v>
      </c>
      <c r="K69" s="115">
        <v>10</v>
      </c>
      <c r="L69" s="174">
        <v>97.14</v>
      </c>
      <c r="M69" s="174">
        <v>94.05</v>
      </c>
      <c r="N69" s="23">
        <v>16.7</v>
      </c>
      <c r="O69" s="23">
        <v>0</v>
      </c>
      <c r="P69" s="144">
        <f t="shared" si="0"/>
        <v>1.67</v>
      </c>
      <c r="Q69" s="144">
        <f t="shared" si="3"/>
        <v>0</v>
      </c>
      <c r="R69" s="144">
        <f t="shared" si="1"/>
        <v>1.3753345686637841</v>
      </c>
      <c r="S69" s="144">
        <f t="shared" si="2"/>
        <v>0</v>
      </c>
      <c r="T69" s="176" t="s">
        <v>65</v>
      </c>
      <c r="U69" s="175"/>
      <c r="V69" s="174"/>
      <c r="W69" s="174"/>
      <c r="X69" s="174"/>
      <c r="Y69" s="174"/>
      <c r="Z69" s="174"/>
      <c r="AA69" s="174"/>
      <c r="AB69" s="174"/>
      <c r="AC69" s="175"/>
    </row>
    <row r="70" spans="1:29" s="183" customFormat="1" x14ac:dyDescent="0.35">
      <c r="A70" s="175" t="s">
        <v>119</v>
      </c>
      <c r="B70" s="175" t="s">
        <v>120</v>
      </c>
      <c r="C70" s="194">
        <v>2345784</v>
      </c>
      <c r="D70" s="175" t="s">
        <v>121</v>
      </c>
      <c r="E70" s="175" t="s">
        <v>123</v>
      </c>
      <c r="F70" s="175" t="s">
        <v>6</v>
      </c>
      <c r="G70" s="174">
        <v>1.56</v>
      </c>
      <c r="H70" s="174">
        <v>1</v>
      </c>
      <c r="I70" s="174">
        <v>67</v>
      </c>
      <c r="J70" s="174">
        <v>77</v>
      </c>
      <c r="K70" s="115">
        <v>7</v>
      </c>
      <c r="L70" s="174">
        <v>116.5</v>
      </c>
      <c r="M70" s="174">
        <v>65.42</v>
      </c>
      <c r="N70" s="23">
        <v>14.4</v>
      </c>
      <c r="O70" s="23">
        <v>0</v>
      </c>
      <c r="P70" s="144">
        <f t="shared" si="0"/>
        <v>2.0571428571428574</v>
      </c>
      <c r="Q70" s="144">
        <f t="shared" si="3"/>
        <v>0</v>
      </c>
      <c r="R70" s="144">
        <f t="shared" si="1"/>
        <v>0.98884120171673828</v>
      </c>
      <c r="S70" s="144">
        <f t="shared" si="2"/>
        <v>0</v>
      </c>
      <c r="T70" s="176" t="s">
        <v>65</v>
      </c>
      <c r="U70" s="175"/>
      <c r="V70" s="174"/>
      <c r="W70" s="174"/>
      <c r="X70" s="174"/>
      <c r="Y70" s="174"/>
      <c r="Z70" s="174"/>
      <c r="AA70" s="174"/>
      <c r="AB70" s="174"/>
      <c r="AC70" s="175"/>
    </row>
    <row r="71" spans="1:29" s="183" customFormat="1" x14ac:dyDescent="0.35">
      <c r="A71" s="175" t="s">
        <v>119</v>
      </c>
      <c r="B71" s="175" t="s">
        <v>120</v>
      </c>
      <c r="C71" s="194">
        <v>2359757</v>
      </c>
      <c r="D71" s="175" t="s">
        <v>121</v>
      </c>
      <c r="E71" s="175" t="s">
        <v>123</v>
      </c>
      <c r="F71" s="175" t="s">
        <v>6</v>
      </c>
      <c r="G71" s="174">
        <v>3.17</v>
      </c>
      <c r="H71" s="174">
        <v>2.1</v>
      </c>
      <c r="I71" s="174">
        <v>56</v>
      </c>
      <c r="J71" s="174">
        <v>77</v>
      </c>
      <c r="K71" s="115">
        <v>20</v>
      </c>
      <c r="L71" s="174">
        <v>399.84</v>
      </c>
      <c r="M71" s="174">
        <v>215.55</v>
      </c>
      <c r="N71" s="23">
        <v>1.1599999999999999</v>
      </c>
      <c r="O71" s="23">
        <v>0</v>
      </c>
      <c r="P71" s="144">
        <f t="shared" si="0"/>
        <v>5.7999999999999996E-2</v>
      </c>
      <c r="Q71" s="144">
        <f t="shared" si="3"/>
        <v>0</v>
      </c>
      <c r="R71" s="144">
        <f t="shared" si="1"/>
        <v>2.3209283713485393E-2</v>
      </c>
      <c r="S71" s="144">
        <f t="shared" si="2"/>
        <v>0</v>
      </c>
      <c r="T71" s="176" t="s">
        <v>65</v>
      </c>
      <c r="U71" s="175"/>
      <c r="V71" s="174"/>
      <c r="W71" s="174"/>
      <c r="X71" s="174"/>
      <c r="Y71" s="174"/>
      <c r="Z71" s="174"/>
      <c r="AA71" s="174"/>
      <c r="AB71" s="174"/>
      <c r="AC71" s="175"/>
    </row>
    <row r="72" spans="1:29" s="183" customFormat="1" x14ac:dyDescent="0.35">
      <c r="A72" s="175" t="s">
        <v>119</v>
      </c>
      <c r="B72" s="175" t="s">
        <v>120</v>
      </c>
      <c r="C72" s="194">
        <v>2359759</v>
      </c>
      <c r="D72" s="175" t="s">
        <v>121</v>
      </c>
      <c r="E72" s="175" t="s">
        <v>123</v>
      </c>
      <c r="F72" s="175" t="s">
        <v>6</v>
      </c>
      <c r="G72" s="174">
        <v>3.06</v>
      </c>
      <c r="H72" s="174">
        <v>2.1</v>
      </c>
      <c r="I72" s="174">
        <v>56</v>
      </c>
      <c r="J72" s="174">
        <v>77</v>
      </c>
      <c r="K72" s="115">
        <v>20</v>
      </c>
      <c r="L72" s="174">
        <v>378</v>
      </c>
      <c r="M72" s="174">
        <v>197.2</v>
      </c>
      <c r="N72" s="23">
        <v>2.93</v>
      </c>
      <c r="O72" s="23">
        <v>0</v>
      </c>
      <c r="P72" s="144">
        <f t="shared" si="0"/>
        <v>0.14650000000000002</v>
      </c>
      <c r="Q72" s="144">
        <f t="shared" si="3"/>
        <v>0</v>
      </c>
      <c r="R72" s="144">
        <f t="shared" si="1"/>
        <v>6.2010582010582016E-2</v>
      </c>
      <c r="S72" s="144">
        <f t="shared" si="2"/>
        <v>0</v>
      </c>
      <c r="T72" s="176" t="s">
        <v>65</v>
      </c>
      <c r="U72" s="175"/>
      <c r="V72" s="174"/>
      <c r="W72" s="174"/>
      <c r="X72" s="174"/>
      <c r="Y72" s="174"/>
      <c r="Z72" s="174"/>
      <c r="AA72" s="174"/>
      <c r="AB72" s="174"/>
      <c r="AC72" s="175"/>
    </row>
    <row r="73" spans="1:29" s="183" customFormat="1" x14ac:dyDescent="0.35">
      <c r="A73" s="175" t="s">
        <v>119</v>
      </c>
      <c r="B73" s="175" t="s">
        <v>120</v>
      </c>
      <c r="C73" s="194">
        <v>2345783</v>
      </c>
      <c r="D73" s="175" t="s">
        <v>121</v>
      </c>
      <c r="E73" s="175" t="s">
        <v>123</v>
      </c>
      <c r="F73" s="175" t="s">
        <v>6</v>
      </c>
      <c r="G73" s="174">
        <v>1.18</v>
      </c>
      <c r="H73" s="174">
        <v>0.75</v>
      </c>
      <c r="I73" s="174">
        <v>67</v>
      </c>
      <c r="J73" s="174">
        <v>77</v>
      </c>
      <c r="K73" s="115">
        <v>5</v>
      </c>
      <c r="L73" s="174">
        <v>59.9</v>
      </c>
      <c r="M73" s="174">
        <v>51.97</v>
      </c>
      <c r="N73" s="23">
        <v>2.93</v>
      </c>
      <c r="O73" s="23">
        <v>0</v>
      </c>
      <c r="P73" s="144">
        <f t="shared" si="0"/>
        <v>0.58600000000000008</v>
      </c>
      <c r="Q73" s="144">
        <f t="shared" si="3"/>
        <v>0</v>
      </c>
      <c r="R73" s="144">
        <f t="shared" si="1"/>
        <v>0.39131886477462441</v>
      </c>
      <c r="S73" s="144">
        <f t="shared" si="2"/>
        <v>0</v>
      </c>
      <c r="T73" s="176" t="s">
        <v>65</v>
      </c>
      <c r="U73" s="175"/>
      <c r="V73" s="174"/>
      <c r="W73" s="174"/>
      <c r="X73" s="174"/>
      <c r="Y73" s="174"/>
      <c r="Z73" s="174"/>
      <c r="AA73" s="174"/>
      <c r="AB73" s="174"/>
      <c r="AC73" s="175"/>
    </row>
    <row r="74" spans="1:29" s="183" customFormat="1" x14ac:dyDescent="0.35">
      <c r="A74" s="175" t="s">
        <v>119</v>
      </c>
      <c r="B74" s="175" t="s">
        <v>120</v>
      </c>
      <c r="C74" s="194">
        <v>2268435</v>
      </c>
      <c r="D74" s="175" t="s">
        <v>121</v>
      </c>
      <c r="E74" s="175" t="s">
        <v>123</v>
      </c>
      <c r="F74" s="175" t="s">
        <v>6</v>
      </c>
      <c r="G74" s="174">
        <v>0.76</v>
      </c>
      <c r="H74" s="174">
        <v>0.81</v>
      </c>
      <c r="I74" s="174">
        <v>63</v>
      </c>
      <c r="J74" s="174">
        <v>76</v>
      </c>
      <c r="K74" s="115">
        <v>5</v>
      </c>
      <c r="L74" s="174">
        <v>58.96</v>
      </c>
      <c r="M74" s="174">
        <v>46.08</v>
      </c>
      <c r="N74" s="23">
        <v>1.2</v>
      </c>
      <c r="O74" s="23">
        <v>0</v>
      </c>
      <c r="P74" s="144">
        <f t="shared" si="0"/>
        <v>0.24</v>
      </c>
      <c r="Q74" s="144">
        <f t="shared" si="3"/>
        <v>0</v>
      </c>
      <c r="R74" s="144">
        <f t="shared" si="1"/>
        <v>0.16282225237449119</v>
      </c>
      <c r="S74" s="144">
        <f t="shared" si="2"/>
        <v>0</v>
      </c>
      <c r="T74" s="176" t="s">
        <v>65</v>
      </c>
      <c r="U74" s="175"/>
      <c r="V74" s="174"/>
      <c r="W74" s="174"/>
      <c r="X74" s="174"/>
      <c r="Y74" s="174"/>
      <c r="Z74" s="174"/>
      <c r="AA74" s="174"/>
      <c r="AB74" s="174"/>
      <c r="AC74" s="175"/>
    </row>
    <row r="75" spans="1:29" s="183" customFormat="1" x14ac:dyDescent="0.35">
      <c r="A75" s="175" t="s">
        <v>119</v>
      </c>
      <c r="B75" s="175" t="s">
        <v>120</v>
      </c>
      <c r="C75" s="194">
        <v>2268436</v>
      </c>
      <c r="D75" s="175" t="s">
        <v>121</v>
      </c>
      <c r="E75" s="175" t="s">
        <v>123</v>
      </c>
      <c r="F75" s="175" t="s">
        <v>6</v>
      </c>
      <c r="G75" s="174">
        <v>0.69</v>
      </c>
      <c r="H75" s="174">
        <v>0.81</v>
      </c>
      <c r="I75" s="174">
        <v>65</v>
      </c>
      <c r="J75" s="174">
        <v>78</v>
      </c>
      <c r="K75" s="115">
        <v>5</v>
      </c>
      <c r="L75" s="174">
        <v>59.97</v>
      </c>
      <c r="M75" s="174">
        <v>51.13</v>
      </c>
      <c r="N75" s="192">
        <v>2.93</v>
      </c>
      <c r="O75" s="192">
        <v>0</v>
      </c>
      <c r="P75" s="144">
        <f t="shared" si="0"/>
        <v>0.58600000000000008</v>
      </c>
      <c r="Q75" s="144">
        <f t="shared" si="3"/>
        <v>0</v>
      </c>
      <c r="R75" s="144">
        <f t="shared" si="1"/>
        <v>0.39086209771552449</v>
      </c>
      <c r="S75" s="144">
        <f t="shared" si="2"/>
        <v>0</v>
      </c>
      <c r="T75" s="176" t="s">
        <v>65</v>
      </c>
      <c r="U75" s="175"/>
      <c r="V75" s="174"/>
      <c r="W75" s="174"/>
      <c r="X75" s="174"/>
      <c r="Y75" s="174"/>
      <c r="Z75" s="174"/>
      <c r="AA75" s="174"/>
      <c r="AB75" s="174"/>
      <c r="AC75" s="175"/>
    </row>
    <row r="76" spans="1:29" s="183" customFormat="1" x14ac:dyDescent="0.35">
      <c r="A76" s="175" t="s">
        <v>119</v>
      </c>
      <c r="B76" s="175" t="s">
        <v>120</v>
      </c>
      <c r="C76" s="194" t="s">
        <v>124</v>
      </c>
      <c r="D76" s="175" t="s">
        <v>121</v>
      </c>
      <c r="E76" s="175"/>
      <c r="F76" s="175" t="s">
        <v>6</v>
      </c>
      <c r="G76" s="174">
        <v>10</v>
      </c>
      <c r="H76" s="174">
        <v>3</v>
      </c>
      <c r="I76" s="174">
        <v>40</v>
      </c>
      <c r="J76" s="174">
        <v>65</v>
      </c>
      <c r="K76" s="115">
        <v>10</v>
      </c>
      <c r="L76" s="174">
        <v>100</v>
      </c>
      <c r="M76" s="174">
        <v>80</v>
      </c>
      <c r="N76" s="174"/>
      <c r="O76" s="174"/>
      <c r="P76" s="174">
        <v>3</v>
      </c>
      <c r="Q76" s="174"/>
      <c r="R76" s="187">
        <v>2.4000000000000004</v>
      </c>
      <c r="S76" s="187">
        <v>0</v>
      </c>
      <c r="T76" s="176" t="s">
        <v>65</v>
      </c>
      <c r="U76" s="174">
        <v>3</v>
      </c>
      <c r="V76" s="174"/>
      <c r="W76" s="174"/>
      <c r="X76" s="174"/>
      <c r="Y76" s="174"/>
      <c r="Z76" s="174"/>
      <c r="AA76" s="174"/>
      <c r="AB76" s="174"/>
      <c r="AC76" s="175"/>
    </row>
    <row r="77" spans="1:29" s="183" customFormat="1" x14ac:dyDescent="0.35">
      <c r="A77" s="175" t="s">
        <v>119</v>
      </c>
      <c r="B77" s="175" t="s">
        <v>120</v>
      </c>
      <c r="C77" s="194" t="s">
        <v>124</v>
      </c>
      <c r="D77" s="175" t="s">
        <v>121</v>
      </c>
      <c r="E77" s="175"/>
      <c r="F77" s="175" t="s">
        <v>6</v>
      </c>
      <c r="G77" s="174">
        <v>10</v>
      </c>
      <c r="H77" s="174">
        <v>3</v>
      </c>
      <c r="I77" s="174">
        <v>40</v>
      </c>
      <c r="J77" s="174">
        <v>65</v>
      </c>
      <c r="K77" s="115">
        <v>10</v>
      </c>
      <c r="L77" s="174">
        <v>100</v>
      </c>
      <c r="M77" s="174">
        <v>80</v>
      </c>
      <c r="N77" s="174"/>
      <c r="O77" s="174"/>
      <c r="P77" s="174">
        <v>3</v>
      </c>
      <c r="Q77" s="174"/>
      <c r="R77" s="187">
        <v>2.4000000000000004</v>
      </c>
      <c r="S77" s="187">
        <v>0</v>
      </c>
      <c r="T77" s="176" t="s">
        <v>65</v>
      </c>
      <c r="U77" s="174">
        <v>3</v>
      </c>
      <c r="V77" s="174"/>
      <c r="W77" s="174"/>
      <c r="X77" s="174"/>
      <c r="Y77" s="174"/>
      <c r="Z77" s="174"/>
      <c r="AA77" s="174"/>
      <c r="AB77" s="174"/>
      <c r="AC77" s="175"/>
    </row>
    <row r="78" spans="1:29" s="183" customFormat="1" x14ac:dyDescent="0.35">
      <c r="A78" s="175" t="s">
        <v>119</v>
      </c>
      <c r="B78" s="175" t="s">
        <v>120</v>
      </c>
      <c r="C78" s="194" t="s">
        <v>124</v>
      </c>
      <c r="D78" s="175" t="s">
        <v>121</v>
      </c>
      <c r="E78" s="175"/>
      <c r="F78" s="175" t="s">
        <v>6</v>
      </c>
      <c r="G78" s="174">
        <v>10</v>
      </c>
      <c r="H78" s="174">
        <v>3</v>
      </c>
      <c r="I78" s="174">
        <v>40</v>
      </c>
      <c r="J78" s="174">
        <v>65</v>
      </c>
      <c r="K78" s="115">
        <v>10</v>
      </c>
      <c r="L78" s="174">
        <v>100</v>
      </c>
      <c r="M78" s="174">
        <v>80</v>
      </c>
      <c r="N78" s="174"/>
      <c r="O78" s="174"/>
      <c r="P78" s="174">
        <v>3</v>
      </c>
      <c r="Q78" s="174"/>
      <c r="R78" s="187">
        <v>2.4000000000000004</v>
      </c>
      <c r="S78" s="187">
        <v>0</v>
      </c>
      <c r="T78" s="176" t="s">
        <v>65</v>
      </c>
      <c r="U78" s="174">
        <v>3</v>
      </c>
      <c r="V78" s="174"/>
      <c r="W78" s="174"/>
      <c r="X78" s="174"/>
      <c r="Y78" s="174"/>
      <c r="Z78" s="174"/>
      <c r="AA78" s="174"/>
      <c r="AB78" s="174"/>
      <c r="AC78" s="175"/>
    </row>
    <row r="79" spans="1:29" s="183" customFormat="1" x14ac:dyDescent="0.35">
      <c r="A79" s="175" t="s">
        <v>119</v>
      </c>
      <c r="B79" s="175" t="s">
        <v>120</v>
      </c>
      <c r="C79" s="194" t="s">
        <v>124</v>
      </c>
      <c r="D79" s="175" t="s">
        <v>121</v>
      </c>
      <c r="E79" s="175"/>
      <c r="F79" s="175" t="s">
        <v>6</v>
      </c>
      <c r="G79" s="174">
        <v>10</v>
      </c>
      <c r="H79" s="174">
        <v>3</v>
      </c>
      <c r="I79" s="174">
        <v>40</v>
      </c>
      <c r="J79" s="174">
        <v>65</v>
      </c>
      <c r="K79" s="115">
        <v>10</v>
      </c>
      <c r="L79" s="174">
        <v>100</v>
      </c>
      <c r="M79" s="174">
        <v>80</v>
      </c>
      <c r="N79" s="174"/>
      <c r="O79" s="174"/>
      <c r="P79" s="174">
        <v>3</v>
      </c>
      <c r="Q79" s="174"/>
      <c r="R79" s="187">
        <v>2.4000000000000004</v>
      </c>
      <c r="S79" s="187">
        <v>0</v>
      </c>
      <c r="T79" s="176" t="s">
        <v>65</v>
      </c>
      <c r="U79" s="174">
        <v>3</v>
      </c>
      <c r="V79" s="174"/>
      <c r="W79" s="174"/>
      <c r="X79" s="174"/>
      <c r="Y79" s="174"/>
      <c r="Z79" s="174"/>
      <c r="AA79" s="174"/>
      <c r="AB79" s="174"/>
      <c r="AC79" s="175"/>
    </row>
    <row r="80" spans="1:29" s="183" customFormat="1" x14ac:dyDescent="0.35">
      <c r="A80" s="175" t="s">
        <v>119</v>
      </c>
      <c r="B80" s="175" t="s">
        <v>120</v>
      </c>
      <c r="C80" s="194" t="s">
        <v>124</v>
      </c>
      <c r="D80" s="175" t="s">
        <v>121</v>
      </c>
      <c r="E80" s="175"/>
      <c r="F80" s="175" t="s">
        <v>6</v>
      </c>
      <c r="G80" s="174">
        <v>10</v>
      </c>
      <c r="H80" s="174">
        <v>3</v>
      </c>
      <c r="I80" s="174">
        <v>40</v>
      </c>
      <c r="J80" s="174">
        <v>65</v>
      </c>
      <c r="K80" s="115">
        <v>10</v>
      </c>
      <c r="L80" s="174">
        <v>100</v>
      </c>
      <c r="M80" s="174">
        <v>80</v>
      </c>
      <c r="N80" s="174"/>
      <c r="O80" s="174"/>
      <c r="P80" s="174">
        <v>3</v>
      </c>
      <c r="Q80" s="174"/>
      <c r="R80" s="187">
        <v>2.4000000000000004</v>
      </c>
      <c r="S80" s="187">
        <v>0</v>
      </c>
      <c r="T80" s="176" t="s">
        <v>65</v>
      </c>
      <c r="U80" s="174">
        <v>3</v>
      </c>
      <c r="V80" s="174"/>
      <c r="W80" s="174"/>
      <c r="X80" s="174"/>
      <c r="Y80" s="174"/>
      <c r="Z80" s="174"/>
      <c r="AA80" s="174"/>
      <c r="AB80" s="174"/>
      <c r="AC80" s="175"/>
    </row>
    <row r="81" spans="1:29" s="183" customFormat="1" x14ac:dyDescent="0.35">
      <c r="A81" s="175" t="s">
        <v>119</v>
      </c>
      <c r="B81" s="175" t="s">
        <v>120</v>
      </c>
      <c r="C81" s="194" t="s">
        <v>124</v>
      </c>
      <c r="D81" s="175" t="s">
        <v>121</v>
      </c>
      <c r="E81" s="175"/>
      <c r="F81" s="175" t="s">
        <v>6</v>
      </c>
      <c r="G81" s="174">
        <v>10</v>
      </c>
      <c r="H81" s="174">
        <v>3</v>
      </c>
      <c r="I81" s="174">
        <v>40</v>
      </c>
      <c r="J81" s="174">
        <v>65</v>
      </c>
      <c r="K81" s="115">
        <v>10</v>
      </c>
      <c r="L81" s="174">
        <v>100</v>
      </c>
      <c r="M81" s="174">
        <v>80</v>
      </c>
      <c r="N81" s="174"/>
      <c r="O81" s="174"/>
      <c r="P81" s="174">
        <v>3</v>
      </c>
      <c r="Q81" s="174"/>
      <c r="R81" s="187">
        <v>2.4000000000000004</v>
      </c>
      <c r="S81" s="187">
        <v>0</v>
      </c>
      <c r="T81" s="176" t="s">
        <v>65</v>
      </c>
      <c r="U81" s="174">
        <v>3</v>
      </c>
      <c r="V81" s="174"/>
      <c r="W81" s="174"/>
      <c r="X81" s="174"/>
      <c r="Y81" s="174"/>
      <c r="Z81" s="174"/>
      <c r="AA81" s="174"/>
      <c r="AB81" s="174"/>
      <c r="AC81" s="175"/>
    </row>
    <row r="82" spans="1:29" s="183" customFormat="1" x14ac:dyDescent="0.35">
      <c r="A82" s="175" t="s">
        <v>119</v>
      </c>
      <c r="B82" s="175" t="s">
        <v>120</v>
      </c>
      <c r="C82" s="194" t="s">
        <v>124</v>
      </c>
      <c r="D82" s="175" t="s">
        <v>121</v>
      </c>
      <c r="E82" s="175"/>
      <c r="F82" s="175" t="s">
        <v>6</v>
      </c>
      <c r="G82" s="174">
        <v>10</v>
      </c>
      <c r="H82" s="174">
        <v>3</v>
      </c>
      <c r="I82" s="174">
        <v>40</v>
      </c>
      <c r="J82" s="174">
        <v>65</v>
      </c>
      <c r="K82" s="115">
        <v>10</v>
      </c>
      <c r="L82" s="174">
        <v>100</v>
      </c>
      <c r="M82" s="174">
        <v>80</v>
      </c>
      <c r="N82" s="174"/>
      <c r="O82" s="174"/>
      <c r="P82" s="174">
        <v>3</v>
      </c>
      <c r="Q82" s="174"/>
      <c r="R82" s="187">
        <v>2.4000000000000004</v>
      </c>
      <c r="S82" s="187">
        <v>0</v>
      </c>
      <c r="T82" s="176" t="s">
        <v>65</v>
      </c>
      <c r="U82" s="174">
        <v>3</v>
      </c>
      <c r="V82" s="174"/>
      <c r="W82" s="174"/>
      <c r="X82" s="174"/>
      <c r="Y82" s="174"/>
      <c r="Z82" s="174"/>
      <c r="AA82" s="174"/>
      <c r="AB82" s="174"/>
      <c r="AC82" s="175"/>
    </row>
    <row r="83" spans="1:29" s="183" customFormat="1" x14ac:dyDescent="0.35">
      <c r="A83" s="175" t="s">
        <v>119</v>
      </c>
      <c r="B83" s="175" t="s">
        <v>120</v>
      </c>
      <c r="C83" s="194" t="s">
        <v>124</v>
      </c>
      <c r="D83" s="175" t="s">
        <v>121</v>
      </c>
      <c r="E83" s="175"/>
      <c r="F83" s="175" t="s">
        <v>6</v>
      </c>
      <c r="G83" s="174">
        <v>10</v>
      </c>
      <c r="H83" s="174">
        <v>3</v>
      </c>
      <c r="I83" s="174">
        <v>40</v>
      </c>
      <c r="J83" s="174">
        <v>65</v>
      </c>
      <c r="K83" s="115">
        <v>10</v>
      </c>
      <c r="L83" s="174">
        <v>100</v>
      </c>
      <c r="M83" s="174">
        <v>80</v>
      </c>
      <c r="N83" s="174"/>
      <c r="O83" s="174"/>
      <c r="P83" s="174">
        <v>3</v>
      </c>
      <c r="Q83" s="174"/>
      <c r="R83" s="187">
        <v>2.4000000000000004</v>
      </c>
      <c r="S83" s="187">
        <v>0</v>
      </c>
      <c r="T83" s="176" t="s">
        <v>65</v>
      </c>
      <c r="U83" s="174">
        <v>3</v>
      </c>
      <c r="V83" s="174"/>
      <c r="W83" s="174"/>
      <c r="X83" s="174"/>
      <c r="Y83" s="174"/>
      <c r="Z83" s="174"/>
      <c r="AA83" s="174"/>
      <c r="AB83" s="174"/>
      <c r="AC83" s="175"/>
    </row>
    <row r="84" spans="1:29" s="183" customFormat="1" x14ac:dyDescent="0.35">
      <c r="A84" s="175" t="s">
        <v>119</v>
      </c>
      <c r="B84" s="175" t="s">
        <v>120</v>
      </c>
      <c r="C84" s="194" t="s">
        <v>124</v>
      </c>
      <c r="D84" s="175" t="s">
        <v>121</v>
      </c>
      <c r="E84" s="175"/>
      <c r="F84" s="175" t="s">
        <v>6</v>
      </c>
      <c r="G84" s="174">
        <v>10</v>
      </c>
      <c r="H84" s="174">
        <v>3</v>
      </c>
      <c r="I84" s="174">
        <v>40</v>
      </c>
      <c r="J84" s="174">
        <v>65</v>
      </c>
      <c r="K84" s="115">
        <v>10</v>
      </c>
      <c r="L84" s="174">
        <v>100</v>
      </c>
      <c r="M84" s="174">
        <v>80</v>
      </c>
      <c r="N84" s="174"/>
      <c r="O84" s="174"/>
      <c r="P84" s="174">
        <v>3</v>
      </c>
      <c r="Q84" s="174"/>
      <c r="R84" s="187">
        <v>2.4000000000000004</v>
      </c>
      <c r="S84" s="187">
        <v>0</v>
      </c>
      <c r="T84" s="176" t="s">
        <v>65</v>
      </c>
      <c r="U84" s="174">
        <v>3</v>
      </c>
      <c r="V84" s="174"/>
      <c r="W84" s="174"/>
      <c r="X84" s="174"/>
      <c r="Y84" s="174"/>
      <c r="Z84" s="174"/>
      <c r="AA84" s="174"/>
      <c r="AB84" s="174"/>
      <c r="AC84" s="175"/>
    </row>
    <row r="85" spans="1:29" s="183" customFormat="1" x14ac:dyDescent="0.35">
      <c r="A85" s="175" t="s">
        <v>119</v>
      </c>
      <c r="B85" s="175" t="s">
        <v>120</v>
      </c>
      <c r="C85" s="194" t="s">
        <v>124</v>
      </c>
      <c r="D85" s="175" t="s">
        <v>121</v>
      </c>
      <c r="E85" s="175"/>
      <c r="F85" s="175" t="s">
        <v>6</v>
      </c>
      <c r="G85" s="174">
        <v>10</v>
      </c>
      <c r="H85" s="174">
        <v>3</v>
      </c>
      <c r="I85" s="174">
        <v>40</v>
      </c>
      <c r="J85" s="174">
        <v>65</v>
      </c>
      <c r="K85" s="115">
        <v>10</v>
      </c>
      <c r="L85" s="174">
        <v>100</v>
      </c>
      <c r="M85" s="174">
        <v>80</v>
      </c>
      <c r="N85" s="174"/>
      <c r="O85" s="174"/>
      <c r="P85" s="174">
        <v>3</v>
      </c>
      <c r="Q85" s="174"/>
      <c r="R85" s="187">
        <v>2.4000000000000004</v>
      </c>
      <c r="S85" s="187">
        <v>0</v>
      </c>
      <c r="T85" s="176" t="s">
        <v>65</v>
      </c>
      <c r="U85" s="174">
        <v>3</v>
      </c>
      <c r="V85" s="174"/>
      <c r="W85" s="174"/>
      <c r="X85" s="174"/>
      <c r="Y85" s="174"/>
      <c r="Z85" s="174"/>
      <c r="AA85" s="174"/>
      <c r="AB85" s="174"/>
      <c r="AC85" s="175"/>
    </row>
    <row r="86" spans="1:29" s="183" customFormat="1" x14ac:dyDescent="0.35">
      <c r="A86" s="175" t="s">
        <v>119</v>
      </c>
      <c r="B86" s="175" t="s">
        <v>120</v>
      </c>
      <c r="C86" s="194" t="s">
        <v>124</v>
      </c>
      <c r="D86" s="175" t="s">
        <v>121</v>
      </c>
      <c r="E86" s="175"/>
      <c r="F86" s="175" t="s">
        <v>6</v>
      </c>
      <c r="G86" s="174">
        <v>10</v>
      </c>
      <c r="H86" s="174">
        <v>3</v>
      </c>
      <c r="I86" s="174">
        <v>40</v>
      </c>
      <c r="J86" s="174">
        <v>65</v>
      </c>
      <c r="K86" s="115">
        <v>10</v>
      </c>
      <c r="L86" s="174">
        <v>100</v>
      </c>
      <c r="M86" s="174">
        <v>80</v>
      </c>
      <c r="N86" s="174"/>
      <c r="O86" s="174"/>
      <c r="P86" s="174">
        <v>3</v>
      </c>
      <c r="Q86" s="174"/>
      <c r="R86" s="187">
        <v>2.4000000000000004</v>
      </c>
      <c r="S86" s="187">
        <v>0</v>
      </c>
      <c r="T86" s="176" t="s">
        <v>65</v>
      </c>
      <c r="U86" s="174">
        <v>3</v>
      </c>
      <c r="V86" s="174"/>
      <c r="W86" s="174"/>
      <c r="X86" s="174"/>
      <c r="Y86" s="174"/>
      <c r="Z86" s="174"/>
      <c r="AA86" s="174"/>
      <c r="AB86" s="174"/>
      <c r="AC86" s="175"/>
    </row>
    <row r="87" spans="1:29" s="183" customFormat="1" x14ac:dyDescent="0.35">
      <c r="A87" s="175" t="s">
        <v>119</v>
      </c>
      <c r="B87" s="175" t="s">
        <v>120</v>
      </c>
      <c r="C87" s="194" t="s">
        <v>124</v>
      </c>
      <c r="D87" s="175" t="s">
        <v>121</v>
      </c>
      <c r="E87" s="175"/>
      <c r="F87" s="175" t="s">
        <v>6</v>
      </c>
      <c r="G87" s="174">
        <v>10</v>
      </c>
      <c r="H87" s="174">
        <v>3</v>
      </c>
      <c r="I87" s="174">
        <v>40</v>
      </c>
      <c r="J87" s="174">
        <v>65</v>
      </c>
      <c r="K87" s="115">
        <v>10</v>
      </c>
      <c r="L87" s="174">
        <v>100</v>
      </c>
      <c r="M87" s="174">
        <v>80</v>
      </c>
      <c r="N87" s="174"/>
      <c r="O87" s="174"/>
      <c r="P87" s="174">
        <v>3</v>
      </c>
      <c r="Q87" s="174"/>
      <c r="R87" s="187">
        <v>2.4000000000000004</v>
      </c>
      <c r="S87" s="187">
        <v>0</v>
      </c>
      <c r="T87" s="176" t="s">
        <v>65</v>
      </c>
      <c r="U87" s="174">
        <v>3</v>
      </c>
      <c r="V87" s="174"/>
      <c r="W87" s="174"/>
      <c r="X87" s="174"/>
      <c r="Y87" s="174"/>
      <c r="Z87" s="174"/>
      <c r="AA87" s="174"/>
      <c r="AB87" s="174"/>
      <c r="AC87" s="175"/>
    </row>
    <row r="88" spans="1:29" s="183" customFormat="1" x14ac:dyDescent="0.35">
      <c r="A88" s="175" t="s">
        <v>119</v>
      </c>
      <c r="B88" s="175" t="s">
        <v>120</v>
      </c>
      <c r="C88" s="194" t="s">
        <v>124</v>
      </c>
      <c r="D88" s="175" t="s">
        <v>121</v>
      </c>
      <c r="E88" s="175"/>
      <c r="F88" s="175" t="s">
        <v>6</v>
      </c>
      <c r="G88" s="174">
        <v>10</v>
      </c>
      <c r="H88" s="174">
        <v>3</v>
      </c>
      <c r="I88" s="174">
        <v>40</v>
      </c>
      <c r="J88" s="174">
        <v>65</v>
      </c>
      <c r="K88" s="115">
        <v>10</v>
      </c>
      <c r="L88" s="174">
        <v>100</v>
      </c>
      <c r="M88" s="174">
        <v>80</v>
      </c>
      <c r="N88" s="174"/>
      <c r="O88" s="174"/>
      <c r="P88" s="174">
        <v>3</v>
      </c>
      <c r="Q88" s="174"/>
      <c r="R88" s="187">
        <v>2.4000000000000004</v>
      </c>
      <c r="S88" s="187">
        <v>0</v>
      </c>
      <c r="T88" s="176" t="s">
        <v>65</v>
      </c>
      <c r="U88" s="174">
        <v>3</v>
      </c>
      <c r="V88" s="174"/>
      <c r="W88" s="174"/>
      <c r="X88" s="174"/>
      <c r="Y88" s="174"/>
      <c r="Z88" s="174"/>
      <c r="AA88" s="174"/>
      <c r="AB88" s="174"/>
      <c r="AC88" s="175"/>
    </row>
    <row r="89" spans="1:29" s="183" customFormat="1" x14ac:dyDescent="0.35">
      <c r="A89" s="175" t="s">
        <v>119</v>
      </c>
      <c r="B89" s="175" t="s">
        <v>120</v>
      </c>
      <c r="C89" s="194" t="s">
        <v>124</v>
      </c>
      <c r="D89" s="175" t="s">
        <v>121</v>
      </c>
      <c r="E89" s="175"/>
      <c r="F89" s="175" t="s">
        <v>6</v>
      </c>
      <c r="G89" s="174">
        <v>10</v>
      </c>
      <c r="H89" s="174">
        <v>3</v>
      </c>
      <c r="I89" s="174">
        <v>40</v>
      </c>
      <c r="J89" s="174">
        <v>65</v>
      </c>
      <c r="K89" s="115">
        <v>10</v>
      </c>
      <c r="L89" s="174">
        <v>100</v>
      </c>
      <c r="M89" s="174">
        <v>80</v>
      </c>
      <c r="N89" s="174"/>
      <c r="O89" s="174"/>
      <c r="P89" s="174">
        <v>3</v>
      </c>
      <c r="Q89" s="174"/>
      <c r="R89" s="187">
        <v>2.4000000000000004</v>
      </c>
      <c r="S89" s="187">
        <v>0</v>
      </c>
      <c r="T89" s="176" t="s">
        <v>65</v>
      </c>
      <c r="U89" s="174">
        <v>3</v>
      </c>
      <c r="V89" s="174"/>
      <c r="W89" s="174"/>
      <c r="X89" s="174"/>
      <c r="Y89" s="174"/>
      <c r="Z89" s="174"/>
      <c r="AA89" s="174"/>
      <c r="AB89" s="174"/>
      <c r="AC89" s="175"/>
    </row>
    <row r="90" spans="1:29" s="183" customFormat="1" x14ac:dyDescent="0.35">
      <c r="A90" s="175" t="s">
        <v>119</v>
      </c>
      <c r="B90" s="175" t="s">
        <v>120</v>
      </c>
      <c r="C90" s="194" t="s">
        <v>124</v>
      </c>
      <c r="D90" s="175" t="s">
        <v>121</v>
      </c>
      <c r="E90" s="175"/>
      <c r="F90" s="175" t="s">
        <v>6</v>
      </c>
      <c r="G90" s="174">
        <v>10</v>
      </c>
      <c r="H90" s="174">
        <v>3</v>
      </c>
      <c r="I90" s="174">
        <v>40</v>
      </c>
      <c r="J90" s="174">
        <v>65</v>
      </c>
      <c r="K90" s="115">
        <v>10</v>
      </c>
      <c r="L90" s="174">
        <v>100</v>
      </c>
      <c r="M90" s="174">
        <v>80</v>
      </c>
      <c r="N90" s="174"/>
      <c r="O90" s="174"/>
      <c r="P90" s="174">
        <v>3</v>
      </c>
      <c r="Q90" s="174"/>
      <c r="R90" s="187">
        <v>2.4000000000000004</v>
      </c>
      <c r="S90" s="187">
        <v>0</v>
      </c>
      <c r="T90" s="176" t="s">
        <v>65</v>
      </c>
      <c r="U90" s="174">
        <v>3</v>
      </c>
      <c r="V90" s="174"/>
      <c r="W90" s="174"/>
      <c r="X90" s="174"/>
      <c r="Y90" s="174"/>
      <c r="Z90" s="174"/>
      <c r="AA90" s="174"/>
      <c r="AB90" s="174"/>
      <c r="AC90" s="175"/>
    </row>
    <row r="91" spans="1:29" s="183" customFormat="1" x14ac:dyDescent="0.35">
      <c r="A91" s="175" t="s">
        <v>119</v>
      </c>
      <c r="B91" s="175" t="s">
        <v>120</v>
      </c>
      <c r="C91" s="194" t="s">
        <v>124</v>
      </c>
      <c r="D91" s="175" t="s">
        <v>121</v>
      </c>
      <c r="E91" s="175"/>
      <c r="F91" s="175" t="s">
        <v>6</v>
      </c>
      <c r="G91" s="174">
        <v>10</v>
      </c>
      <c r="H91" s="174">
        <v>3</v>
      </c>
      <c r="I91" s="174">
        <v>40</v>
      </c>
      <c r="J91" s="174">
        <v>65</v>
      </c>
      <c r="K91" s="115">
        <v>10</v>
      </c>
      <c r="L91" s="174">
        <v>100</v>
      </c>
      <c r="M91" s="174">
        <v>80</v>
      </c>
      <c r="N91" s="174"/>
      <c r="O91" s="174"/>
      <c r="P91" s="174">
        <v>3</v>
      </c>
      <c r="Q91" s="174"/>
      <c r="R91" s="187">
        <v>2.4000000000000004</v>
      </c>
      <c r="S91" s="187">
        <v>0</v>
      </c>
      <c r="T91" s="176" t="s">
        <v>65</v>
      </c>
      <c r="U91" s="174">
        <v>3</v>
      </c>
      <c r="V91" s="174"/>
      <c r="W91" s="174"/>
      <c r="X91" s="174"/>
      <c r="Y91" s="174"/>
      <c r="Z91" s="174"/>
      <c r="AA91" s="174"/>
      <c r="AB91" s="174"/>
      <c r="AC91" s="175"/>
    </row>
    <row r="92" spans="1:29" s="183" customFormat="1" x14ac:dyDescent="0.35">
      <c r="A92" s="175" t="s">
        <v>119</v>
      </c>
      <c r="B92" s="175" t="s">
        <v>120</v>
      </c>
      <c r="C92" s="194" t="s">
        <v>124</v>
      </c>
      <c r="D92" s="175" t="s">
        <v>121</v>
      </c>
      <c r="E92" s="175"/>
      <c r="F92" s="175" t="s">
        <v>6</v>
      </c>
      <c r="G92" s="174">
        <v>10</v>
      </c>
      <c r="H92" s="174">
        <v>3</v>
      </c>
      <c r="I92" s="174">
        <v>40</v>
      </c>
      <c r="J92" s="174">
        <v>65</v>
      </c>
      <c r="K92" s="115">
        <v>10</v>
      </c>
      <c r="L92" s="174">
        <v>100</v>
      </c>
      <c r="M92" s="174">
        <v>80</v>
      </c>
      <c r="N92" s="174"/>
      <c r="O92" s="174"/>
      <c r="P92" s="174">
        <v>3</v>
      </c>
      <c r="Q92" s="174"/>
      <c r="R92" s="187">
        <v>2.4000000000000004</v>
      </c>
      <c r="S92" s="187">
        <v>0</v>
      </c>
      <c r="T92" s="176" t="s">
        <v>65</v>
      </c>
      <c r="U92" s="174">
        <v>3</v>
      </c>
      <c r="V92" s="174"/>
      <c r="W92" s="174"/>
      <c r="X92" s="174"/>
      <c r="Y92" s="174"/>
      <c r="Z92" s="174"/>
      <c r="AA92" s="174"/>
      <c r="AB92" s="174"/>
      <c r="AC92" s="175"/>
    </row>
    <row r="93" spans="1:29" s="183" customFormat="1" x14ac:dyDescent="0.35">
      <c r="A93" s="175" t="s">
        <v>119</v>
      </c>
      <c r="B93" s="175" t="s">
        <v>120</v>
      </c>
      <c r="C93" s="194" t="s">
        <v>124</v>
      </c>
      <c r="D93" s="175" t="s">
        <v>121</v>
      </c>
      <c r="E93" s="175"/>
      <c r="F93" s="175" t="s">
        <v>6</v>
      </c>
      <c r="G93" s="174">
        <v>10</v>
      </c>
      <c r="H93" s="174">
        <v>3</v>
      </c>
      <c r="I93" s="174">
        <v>40</v>
      </c>
      <c r="J93" s="174">
        <v>65</v>
      </c>
      <c r="K93" s="115">
        <v>10</v>
      </c>
      <c r="L93" s="174">
        <v>100</v>
      </c>
      <c r="M93" s="174">
        <v>80</v>
      </c>
      <c r="N93" s="174"/>
      <c r="O93" s="174"/>
      <c r="P93" s="174">
        <v>3</v>
      </c>
      <c r="Q93" s="174"/>
      <c r="R93" s="187">
        <v>2.4000000000000004</v>
      </c>
      <c r="S93" s="187">
        <v>0</v>
      </c>
      <c r="T93" s="176" t="s">
        <v>65</v>
      </c>
      <c r="U93" s="174">
        <v>3</v>
      </c>
      <c r="V93" s="174"/>
      <c r="W93" s="174"/>
      <c r="X93" s="174"/>
      <c r="Y93" s="174"/>
      <c r="Z93" s="174"/>
      <c r="AA93" s="174"/>
      <c r="AB93" s="174"/>
      <c r="AC93" s="175"/>
    </row>
    <row r="94" spans="1:29" s="183" customFormat="1" x14ac:dyDescent="0.35">
      <c r="A94" s="175" t="s">
        <v>119</v>
      </c>
      <c r="B94" s="175" t="s">
        <v>120</v>
      </c>
      <c r="C94" s="194" t="s">
        <v>124</v>
      </c>
      <c r="D94" s="175" t="s">
        <v>121</v>
      </c>
      <c r="E94" s="175"/>
      <c r="F94" s="175" t="s">
        <v>6</v>
      </c>
      <c r="G94" s="174">
        <v>10</v>
      </c>
      <c r="H94" s="174">
        <v>3</v>
      </c>
      <c r="I94" s="174">
        <v>40</v>
      </c>
      <c r="J94" s="174">
        <v>65</v>
      </c>
      <c r="K94" s="115">
        <v>10</v>
      </c>
      <c r="L94" s="174">
        <v>100</v>
      </c>
      <c r="M94" s="174">
        <v>80</v>
      </c>
      <c r="N94" s="174"/>
      <c r="O94" s="174"/>
      <c r="P94" s="174">
        <v>3</v>
      </c>
      <c r="Q94" s="174"/>
      <c r="R94" s="187">
        <v>2.4000000000000004</v>
      </c>
      <c r="S94" s="187">
        <v>0</v>
      </c>
      <c r="T94" s="176" t="s">
        <v>65</v>
      </c>
      <c r="U94" s="174">
        <v>3</v>
      </c>
      <c r="V94" s="174"/>
      <c r="W94" s="174"/>
      <c r="X94" s="174"/>
      <c r="Y94" s="174"/>
      <c r="Z94" s="174"/>
      <c r="AA94" s="174"/>
      <c r="AB94" s="174"/>
      <c r="AC94" s="175"/>
    </row>
    <row r="95" spans="1:29" s="183" customFormat="1" x14ac:dyDescent="0.35">
      <c r="A95" s="175" t="s">
        <v>119</v>
      </c>
      <c r="B95" s="175" t="s">
        <v>120</v>
      </c>
      <c r="C95" s="194" t="s">
        <v>124</v>
      </c>
      <c r="D95" s="175" t="s">
        <v>121</v>
      </c>
      <c r="E95" s="175"/>
      <c r="F95" s="175" t="s">
        <v>6</v>
      </c>
      <c r="G95" s="174">
        <v>10</v>
      </c>
      <c r="H95" s="174">
        <v>3</v>
      </c>
      <c r="I95" s="174">
        <v>40</v>
      </c>
      <c r="J95" s="174">
        <v>65</v>
      </c>
      <c r="K95" s="115">
        <v>10</v>
      </c>
      <c r="L95" s="174">
        <v>100</v>
      </c>
      <c r="M95" s="174">
        <v>80</v>
      </c>
      <c r="N95" s="174"/>
      <c r="O95" s="174"/>
      <c r="P95" s="174">
        <v>3</v>
      </c>
      <c r="Q95" s="174"/>
      <c r="R95" s="187">
        <v>2.4000000000000004</v>
      </c>
      <c r="S95" s="187">
        <v>0</v>
      </c>
      <c r="T95" s="176" t="s">
        <v>65</v>
      </c>
      <c r="U95" s="174">
        <v>3</v>
      </c>
      <c r="V95" s="174"/>
      <c r="W95" s="174"/>
      <c r="X95" s="174"/>
      <c r="Y95" s="174"/>
      <c r="Z95" s="174"/>
      <c r="AA95" s="174"/>
      <c r="AB95" s="174"/>
      <c r="AC95" s="175"/>
    </row>
    <row r="96" spans="1:29" s="183" customFormat="1" x14ac:dyDescent="0.35">
      <c r="A96" s="175" t="s">
        <v>119</v>
      </c>
      <c r="B96" s="175" t="s">
        <v>120</v>
      </c>
      <c r="C96" s="194" t="s">
        <v>124</v>
      </c>
      <c r="D96" s="175" t="s">
        <v>121</v>
      </c>
      <c r="E96" s="175"/>
      <c r="F96" s="175" t="s">
        <v>6</v>
      </c>
      <c r="G96" s="174">
        <v>10</v>
      </c>
      <c r="H96" s="174">
        <v>3</v>
      </c>
      <c r="I96" s="174">
        <v>40</v>
      </c>
      <c r="J96" s="174">
        <v>65</v>
      </c>
      <c r="K96" s="115">
        <v>10</v>
      </c>
      <c r="L96" s="174">
        <v>100</v>
      </c>
      <c r="M96" s="174">
        <v>80</v>
      </c>
      <c r="N96" s="174"/>
      <c r="O96" s="174"/>
      <c r="P96" s="174">
        <v>3</v>
      </c>
      <c r="Q96" s="174"/>
      <c r="R96" s="187">
        <v>2.4000000000000004</v>
      </c>
      <c r="S96" s="187">
        <v>0</v>
      </c>
      <c r="T96" s="176" t="s">
        <v>65</v>
      </c>
      <c r="U96" s="174">
        <v>3</v>
      </c>
      <c r="V96" s="174"/>
      <c r="W96" s="174"/>
      <c r="X96" s="174"/>
      <c r="Y96" s="174"/>
      <c r="Z96" s="174"/>
      <c r="AA96" s="174"/>
      <c r="AB96" s="174"/>
      <c r="AC96" s="175"/>
    </row>
    <row r="97" spans="1:29" s="183" customFormat="1" x14ac:dyDescent="0.35">
      <c r="A97" s="175" t="s">
        <v>119</v>
      </c>
      <c r="B97" s="175" t="s">
        <v>120</v>
      </c>
      <c r="C97" s="194" t="s">
        <v>124</v>
      </c>
      <c r="D97" s="175" t="s">
        <v>121</v>
      </c>
      <c r="E97" s="175"/>
      <c r="F97" s="175" t="s">
        <v>6</v>
      </c>
      <c r="G97" s="174">
        <v>10</v>
      </c>
      <c r="H97" s="174">
        <v>3</v>
      </c>
      <c r="I97" s="174">
        <v>40</v>
      </c>
      <c r="J97" s="174">
        <v>65</v>
      </c>
      <c r="K97" s="115">
        <v>10</v>
      </c>
      <c r="L97" s="174">
        <v>100</v>
      </c>
      <c r="M97" s="174">
        <v>80</v>
      </c>
      <c r="N97" s="174"/>
      <c r="O97" s="174"/>
      <c r="P97" s="174">
        <v>3</v>
      </c>
      <c r="Q97" s="174"/>
      <c r="R97" s="187">
        <v>2.4000000000000004</v>
      </c>
      <c r="S97" s="187">
        <v>0</v>
      </c>
      <c r="T97" s="176" t="s">
        <v>65</v>
      </c>
      <c r="U97" s="174">
        <v>3</v>
      </c>
      <c r="V97" s="174"/>
      <c r="W97" s="174"/>
      <c r="X97" s="174"/>
      <c r="Y97" s="174"/>
      <c r="Z97" s="174"/>
      <c r="AA97" s="174"/>
      <c r="AB97" s="174"/>
      <c r="AC97" s="175"/>
    </row>
    <row r="98" spans="1:29" s="183" customFormat="1" x14ac:dyDescent="0.35">
      <c r="A98" s="175" t="s">
        <v>119</v>
      </c>
      <c r="B98" s="175" t="s">
        <v>120</v>
      </c>
      <c r="C98" s="194" t="s">
        <v>124</v>
      </c>
      <c r="D98" s="175" t="s">
        <v>121</v>
      </c>
      <c r="E98" s="175"/>
      <c r="F98" s="175" t="s">
        <v>6</v>
      </c>
      <c r="G98" s="174">
        <v>10</v>
      </c>
      <c r="H98" s="174">
        <v>3</v>
      </c>
      <c r="I98" s="174">
        <v>40</v>
      </c>
      <c r="J98" s="174">
        <v>65</v>
      </c>
      <c r="K98" s="115">
        <v>10</v>
      </c>
      <c r="L98" s="174">
        <v>100</v>
      </c>
      <c r="M98" s="174">
        <v>80</v>
      </c>
      <c r="N98" s="174"/>
      <c r="O98" s="174"/>
      <c r="P98" s="174">
        <v>3</v>
      </c>
      <c r="Q98" s="174"/>
      <c r="R98" s="187">
        <v>2.4000000000000004</v>
      </c>
      <c r="S98" s="187">
        <v>0</v>
      </c>
      <c r="T98" s="176" t="s">
        <v>65</v>
      </c>
      <c r="U98" s="174">
        <v>3</v>
      </c>
      <c r="V98" s="174"/>
      <c r="W98" s="174"/>
      <c r="X98" s="174"/>
      <c r="Y98" s="174"/>
      <c r="Z98" s="174"/>
      <c r="AA98" s="174"/>
      <c r="AB98" s="174"/>
      <c r="AC98" s="175"/>
    </row>
    <row r="99" spans="1:29" s="183" customFormat="1" x14ac:dyDescent="0.35">
      <c r="A99" s="175" t="s">
        <v>119</v>
      </c>
      <c r="B99" s="175" t="s">
        <v>120</v>
      </c>
      <c r="C99" s="194" t="s">
        <v>124</v>
      </c>
      <c r="D99" s="175" t="s">
        <v>121</v>
      </c>
      <c r="E99" s="175"/>
      <c r="F99" s="175" t="s">
        <v>6</v>
      </c>
      <c r="G99" s="174">
        <v>10</v>
      </c>
      <c r="H99" s="174">
        <v>3</v>
      </c>
      <c r="I99" s="174">
        <v>40</v>
      </c>
      <c r="J99" s="174">
        <v>65</v>
      </c>
      <c r="K99" s="115">
        <v>10</v>
      </c>
      <c r="L99" s="174">
        <v>100</v>
      </c>
      <c r="M99" s="174">
        <v>80</v>
      </c>
      <c r="N99" s="174"/>
      <c r="O99" s="174"/>
      <c r="P99" s="174">
        <v>3</v>
      </c>
      <c r="Q99" s="174"/>
      <c r="R99" s="187">
        <v>2.4000000000000004</v>
      </c>
      <c r="S99" s="187">
        <v>0</v>
      </c>
      <c r="T99" s="176" t="s">
        <v>65</v>
      </c>
      <c r="U99" s="174">
        <v>3</v>
      </c>
      <c r="V99" s="174"/>
      <c r="W99" s="174"/>
      <c r="X99" s="174"/>
      <c r="Y99" s="174"/>
      <c r="Z99" s="174"/>
      <c r="AA99" s="174"/>
      <c r="AB99" s="174"/>
      <c r="AC99" s="175"/>
    </row>
    <row r="100" spans="1:29" s="183" customFormat="1" x14ac:dyDescent="0.35">
      <c r="A100" s="175" t="s">
        <v>119</v>
      </c>
      <c r="B100" s="175" t="s">
        <v>120</v>
      </c>
      <c r="C100" s="194" t="s">
        <v>124</v>
      </c>
      <c r="D100" s="175" t="s">
        <v>121</v>
      </c>
      <c r="E100" s="175"/>
      <c r="F100" s="175" t="s">
        <v>6</v>
      </c>
      <c r="G100" s="174">
        <v>10</v>
      </c>
      <c r="H100" s="174">
        <v>3</v>
      </c>
      <c r="I100" s="174">
        <v>40</v>
      </c>
      <c r="J100" s="174">
        <v>65</v>
      </c>
      <c r="K100" s="115">
        <v>10</v>
      </c>
      <c r="L100" s="174">
        <v>100</v>
      </c>
      <c r="M100" s="174">
        <v>80</v>
      </c>
      <c r="N100" s="174"/>
      <c r="O100" s="174"/>
      <c r="P100" s="174">
        <v>3</v>
      </c>
      <c r="Q100" s="174"/>
      <c r="R100" s="187">
        <v>2.4000000000000004</v>
      </c>
      <c r="S100" s="187">
        <v>0</v>
      </c>
      <c r="T100" s="176" t="s">
        <v>65</v>
      </c>
      <c r="U100" s="174">
        <v>3</v>
      </c>
      <c r="V100" s="174"/>
      <c r="W100" s="174"/>
      <c r="X100" s="174"/>
      <c r="Y100" s="174"/>
      <c r="Z100" s="174"/>
      <c r="AA100" s="174"/>
      <c r="AB100" s="174"/>
      <c r="AC100" s="175"/>
    </row>
    <row r="101" spans="1:29" s="183" customFormat="1" x14ac:dyDescent="0.35">
      <c r="A101" s="175" t="s">
        <v>119</v>
      </c>
      <c r="B101" s="175" t="s">
        <v>120</v>
      </c>
      <c r="C101" s="194" t="s">
        <v>124</v>
      </c>
      <c r="D101" s="175" t="s">
        <v>121</v>
      </c>
      <c r="E101" s="175"/>
      <c r="F101" s="175" t="s">
        <v>6</v>
      </c>
      <c r="G101" s="174">
        <v>12.5</v>
      </c>
      <c r="H101" s="174">
        <v>3.75</v>
      </c>
      <c r="I101" s="174">
        <v>40</v>
      </c>
      <c r="J101" s="174">
        <v>65</v>
      </c>
      <c r="K101" s="115">
        <v>22</v>
      </c>
      <c r="L101" s="174">
        <v>150</v>
      </c>
      <c r="M101" s="174">
        <v>100</v>
      </c>
      <c r="N101" s="174"/>
      <c r="O101" s="174"/>
      <c r="P101" s="174">
        <v>1.8181818181818181</v>
      </c>
      <c r="Q101" s="174"/>
      <c r="R101" s="187">
        <v>2.1333333333333333</v>
      </c>
      <c r="S101" s="187">
        <v>0</v>
      </c>
      <c r="T101" s="176" t="s">
        <v>65</v>
      </c>
      <c r="U101" s="174">
        <v>3.75</v>
      </c>
      <c r="V101" s="174"/>
      <c r="W101" s="174"/>
      <c r="X101" s="174"/>
      <c r="Y101" s="174"/>
      <c r="Z101" s="174"/>
      <c r="AA101" s="174"/>
      <c r="AB101" s="174"/>
      <c r="AC101" s="175"/>
    </row>
    <row r="102" spans="1:29" s="183" customFormat="1" x14ac:dyDescent="0.35">
      <c r="A102" s="175" t="s">
        <v>119</v>
      </c>
      <c r="B102" s="175" t="s">
        <v>120</v>
      </c>
      <c r="C102" s="194" t="s">
        <v>124</v>
      </c>
      <c r="D102" s="175" t="s">
        <v>121</v>
      </c>
      <c r="E102" s="175"/>
      <c r="F102" s="175" t="s">
        <v>6</v>
      </c>
      <c r="G102" s="174">
        <v>12.5</v>
      </c>
      <c r="H102" s="174">
        <v>3.75</v>
      </c>
      <c r="I102" s="174">
        <v>40</v>
      </c>
      <c r="J102" s="174">
        <v>65</v>
      </c>
      <c r="K102" s="115">
        <v>22</v>
      </c>
      <c r="L102" s="174">
        <v>150</v>
      </c>
      <c r="M102" s="174">
        <v>100</v>
      </c>
      <c r="N102" s="174"/>
      <c r="O102" s="174"/>
      <c r="P102" s="174">
        <v>1.8181818181818181</v>
      </c>
      <c r="Q102" s="174"/>
      <c r="R102" s="187">
        <v>2.1333333333333333</v>
      </c>
      <c r="S102" s="187">
        <v>0</v>
      </c>
      <c r="T102" s="176" t="s">
        <v>65</v>
      </c>
      <c r="U102" s="174">
        <v>3.75</v>
      </c>
      <c r="V102" s="174"/>
      <c r="W102" s="174"/>
      <c r="X102" s="174"/>
      <c r="Y102" s="174"/>
      <c r="Z102" s="174"/>
      <c r="AA102" s="174"/>
      <c r="AB102" s="174"/>
      <c r="AC102" s="175"/>
    </row>
    <row r="103" spans="1:29" s="183" customFormat="1" x14ac:dyDescent="0.35">
      <c r="A103" s="175" t="s">
        <v>119</v>
      </c>
      <c r="B103" s="175" t="s">
        <v>120</v>
      </c>
      <c r="C103" s="194" t="s">
        <v>124</v>
      </c>
      <c r="D103" s="175" t="s">
        <v>121</v>
      </c>
      <c r="E103" s="175"/>
      <c r="F103" s="175" t="s">
        <v>6</v>
      </c>
      <c r="G103" s="174">
        <v>12.5</v>
      </c>
      <c r="H103" s="174">
        <v>3.75</v>
      </c>
      <c r="I103" s="174">
        <v>40</v>
      </c>
      <c r="J103" s="174">
        <v>65</v>
      </c>
      <c r="K103" s="115">
        <v>22</v>
      </c>
      <c r="L103" s="174">
        <v>150</v>
      </c>
      <c r="M103" s="174">
        <v>100</v>
      </c>
      <c r="N103" s="174"/>
      <c r="O103" s="174"/>
      <c r="P103" s="174">
        <v>1.8181818181818181</v>
      </c>
      <c r="Q103" s="174"/>
      <c r="R103" s="187">
        <v>2.1333333333333333</v>
      </c>
      <c r="S103" s="187">
        <v>0</v>
      </c>
      <c r="T103" s="176" t="s">
        <v>65</v>
      </c>
      <c r="U103" s="174">
        <v>3.75</v>
      </c>
      <c r="V103" s="174"/>
      <c r="W103" s="174"/>
      <c r="X103" s="174"/>
      <c r="Y103" s="174"/>
      <c r="Z103" s="174"/>
      <c r="AA103" s="174"/>
      <c r="AB103" s="174"/>
      <c r="AC103" s="175"/>
    </row>
    <row r="104" spans="1:29" s="183" customFormat="1" x14ac:dyDescent="0.35">
      <c r="A104" s="175" t="s">
        <v>119</v>
      </c>
      <c r="B104" s="175" t="s">
        <v>120</v>
      </c>
      <c r="C104" s="194" t="s">
        <v>124</v>
      </c>
      <c r="D104" s="175" t="s">
        <v>121</v>
      </c>
      <c r="E104" s="175"/>
      <c r="F104" s="175" t="s">
        <v>6</v>
      </c>
      <c r="G104" s="174">
        <v>12.5</v>
      </c>
      <c r="H104" s="174">
        <v>3.75</v>
      </c>
      <c r="I104" s="174">
        <v>40</v>
      </c>
      <c r="J104" s="174">
        <v>65</v>
      </c>
      <c r="K104" s="115">
        <v>22</v>
      </c>
      <c r="L104" s="174">
        <v>150</v>
      </c>
      <c r="M104" s="174">
        <v>100</v>
      </c>
      <c r="N104" s="174"/>
      <c r="O104" s="174"/>
      <c r="P104" s="174">
        <v>1.8181818181818181</v>
      </c>
      <c r="Q104" s="174"/>
      <c r="R104" s="187">
        <v>2.1333333333333333</v>
      </c>
      <c r="S104" s="187">
        <v>0</v>
      </c>
      <c r="T104" s="176" t="s">
        <v>65</v>
      </c>
      <c r="U104" s="174">
        <v>3.75</v>
      </c>
      <c r="V104" s="174"/>
      <c r="W104" s="174"/>
      <c r="X104" s="174"/>
      <c r="Y104" s="174"/>
      <c r="Z104" s="174"/>
      <c r="AA104" s="174"/>
      <c r="AB104" s="174"/>
      <c r="AC104" s="175"/>
    </row>
    <row r="105" spans="1:29" s="183" customFormat="1" x14ac:dyDescent="0.35">
      <c r="A105" s="175" t="s">
        <v>119</v>
      </c>
      <c r="B105" s="175" t="s">
        <v>120</v>
      </c>
      <c r="C105" s="194" t="s">
        <v>124</v>
      </c>
      <c r="D105" s="175" t="s">
        <v>121</v>
      </c>
      <c r="E105" s="175"/>
      <c r="F105" s="175" t="s">
        <v>6</v>
      </c>
      <c r="G105" s="174">
        <v>12.5</v>
      </c>
      <c r="H105" s="174">
        <v>3.75</v>
      </c>
      <c r="I105" s="174">
        <v>40</v>
      </c>
      <c r="J105" s="174">
        <v>65</v>
      </c>
      <c r="K105" s="115">
        <v>22</v>
      </c>
      <c r="L105" s="174">
        <v>150</v>
      </c>
      <c r="M105" s="174">
        <v>100</v>
      </c>
      <c r="N105" s="174"/>
      <c r="O105" s="174"/>
      <c r="P105" s="174">
        <v>1.8181818181818181</v>
      </c>
      <c r="Q105" s="174"/>
      <c r="R105" s="187">
        <v>2.1333333333333333</v>
      </c>
      <c r="S105" s="187">
        <v>0</v>
      </c>
      <c r="T105" s="176" t="s">
        <v>65</v>
      </c>
      <c r="U105" s="174">
        <v>3.75</v>
      </c>
      <c r="V105" s="174"/>
      <c r="W105" s="174"/>
      <c r="X105" s="174"/>
      <c r="Y105" s="174"/>
      <c r="Z105" s="174"/>
      <c r="AA105" s="174"/>
      <c r="AB105" s="174"/>
      <c r="AC105" s="175"/>
    </row>
    <row r="106" spans="1:29" s="183" customFormat="1" x14ac:dyDescent="0.35">
      <c r="A106" s="175" t="s">
        <v>119</v>
      </c>
      <c r="B106" s="175" t="s">
        <v>120</v>
      </c>
      <c r="C106" s="194" t="s">
        <v>124</v>
      </c>
      <c r="D106" s="175" t="s">
        <v>121</v>
      </c>
      <c r="E106" s="175"/>
      <c r="F106" s="175" t="s">
        <v>6</v>
      </c>
      <c r="G106" s="174">
        <v>12.5</v>
      </c>
      <c r="H106" s="174">
        <v>3.75</v>
      </c>
      <c r="I106" s="174">
        <v>40</v>
      </c>
      <c r="J106" s="174">
        <v>65</v>
      </c>
      <c r="K106" s="115">
        <v>22</v>
      </c>
      <c r="L106" s="174">
        <v>150</v>
      </c>
      <c r="M106" s="174">
        <v>100</v>
      </c>
      <c r="N106" s="174"/>
      <c r="O106" s="174"/>
      <c r="P106" s="174">
        <v>1.8181818181818181</v>
      </c>
      <c r="Q106" s="174"/>
      <c r="R106" s="187">
        <v>2.1333333333333333</v>
      </c>
      <c r="S106" s="187">
        <v>0</v>
      </c>
      <c r="T106" s="176" t="s">
        <v>65</v>
      </c>
      <c r="U106" s="174">
        <v>3.75</v>
      </c>
      <c r="V106" s="174"/>
      <c r="W106" s="174"/>
      <c r="X106" s="174"/>
      <c r="Y106" s="174"/>
      <c r="Z106" s="174"/>
      <c r="AA106" s="174"/>
      <c r="AB106" s="174"/>
      <c r="AC106" s="175"/>
    </row>
    <row r="107" spans="1:29" s="183" customFormat="1" x14ac:dyDescent="0.35">
      <c r="A107" s="175" t="s">
        <v>119</v>
      </c>
      <c r="B107" s="175" t="s">
        <v>120</v>
      </c>
      <c r="C107" s="194" t="s">
        <v>124</v>
      </c>
      <c r="D107" s="175" t="s">
        <v>121</v>
      </c>
      <c r="E107" s="175"/>
      <c r="F107" s="175" t="s">
        <v>6</v>
      </c>
      <c r="G107" s="174">
        <v>12.5</v>
      </c>
      <c r="H107" s="174">
        <v>3.75</v>
      </c>
      <c r="I107" s="174">
        <v>40</v>
      </c>
      <c r="J107" s="174">
        <v>65</v>
      </c>
      <c r="K107" s="115">
        <v>22</v>
      </c>
      <c r="L107" s="174">
        <v>150</v>
      </c>
      <c r="M107" s="174">
        <v>100</v>
      </c>
      <c r="N107" s="174"/>
      <c r="O107" s="174"/>
      <c r="P107" s="174">
        <v>1.8181818181818181</v>
      </c>
      <c r="Q107" s="174"/>
      <c r="R107" s="187">
        <v>2.1333333333333333</v>
      </c>
      <c r="S107" s="187">
        <v>0</v>
      </c>
      <c r="T107" s="176" t="s">
        <v>65</v>
      </c>
      <c r="U107" s="174">
        <v>3.75</v>
      </c>
      <c r="V107" s="174"/>
      <c r="W107" s="174"/>
      <c r="X107" s="174"/>
      <c r="Y107" s="174"/>
      <c r="Z107" s="174"/>
      <c r="AA107" s="174"/>
      <c r="AB107" s="174"/>
      <c r="AC107" s="175"/>
    </row>
    <row r="108" spans="1:29" s="183" customFormat="1" x14ac:dyDescent="0.35">
      <c r="A108" s="175" t="s">
        <v>119</v>
      </c>
      <c r="B108" s="175" t="s">
        <v>120</v>
      </c>
      <c r="C108" s="194" t="s">
        <v>124</v>
      </c>
      <c r="D108" s="175" t="s">
        <v>121</v>
      </c>
      <c r="E108" s="175"/>
      <c r="F108" s="175" t="s">
        <v>6</v>
      </c>
      <c r="G108" s="174">
        <v>12.5</v>
      </c>
      <c r="H108" s="174">
        <v>3.75</v>
      </c>
      <c r="I108" s="174">
        <v>40</v>
      </c>
      <c r="J108" s="174">
        <v>65</v>
      </c>
      <c r="K108" s="115">
        <v>22</v>
      </c>
      <c r="L108" s="174">
        <v>150</v>
      </c>
      <c r="M108" s="174">
        <v>100</v>
      </c>
      <c r="N108" s="174"/>
      <c r="O108" s="174"/>
      <c r="P108" s="174">
        <v>1.8181818181818181</v>
      </c>
      <c r="Q108" s="174"/>
      <c r="R108" s="187">
        <v>2.1333333333333333</v>
      </c>
      <c r="S108" s="187">
        <v>0</v>
      </c>
      <c r="T108" s="176" t="s">
        <v>65</v>
      </c>
      <c r="U108" s="174">
        <v>3.75</v>
      </c>
      <c r="V108" s="174"/>
      <c r="W108" s="174"/>
      <c r="X108" s="174"/>
      <c r="Y108" s="174"/>
      <c r="Z108" s="174"/>
      <c r="AA108" s="174"/>
      <c r="AB108" s="174"/>
      <c r="AC108" s="175"/>
    </row>
    <row r="109" spans="1:29" s="183" customFormat="1" x14ac:dyDescent="0.35">
      <c r="A109" s="175" t="s">
        <v>119</v>
      </c>
      <c r="B109" s="175" t="s">
        <v>120</v>
      </c>
      <c r="C109" s="194" t="s">
        <v>124</v>
      </c>
      <c r="D109" s="175" t="s">
        <v>121</v>
      </c>
      <c r="E109" s="175"/>
      <c r="F109" s="175" t="s">
        <v>6</v>
      </c>
      <c r="G109" s="174">
        <v>12.5</v>
      </c>
      <c r="H109" s="174">
        <v>3.75</v>
      </c>
      <c r="I109" s="174">
        <v>40</v>
      </c>
      <c r="J109" s="174">
        <v>65</v>
      </c>
      <c r="K109" s="115">
        <v>22</v>
      </c>
      <c r="L109" s="174">
        <v>150</v>
      </c>
      <c r="M109" s="174">
        <v>100</v>
      </c>
      <c r="N109" s="174"/>
      <c r="O109" s="174"/>
      <c r="P109" s="174">
        <v>1.8181818181818181</v>
      </c>
      <c r="Q109" s="174"/>
      <c r="R109" s="187">
        <v>2.1333333333333333</v>
      </c>
      <c r="S109" s="187">
        <v>0</v>
      </c>
      <c r="T109" s="176" t="s">
        <v>65</v>
      </c>
      <c r="U109" s="174">
        <v>3.75</v>
      </c>
      <c r="V109" s="174"/>
      <c r="W109" s="174"/>
      <c r="X109" s="174"/>
      <c r="Y109" s="174"/>
      <c r="Z109" s="174"/>
      <c r="AA109" s="174"/>
      <c r="AB109" s="174"/>
      <c r="AC109" s="175"/>
    </row>
    <row r="110" spans="1:29" s="183" customFormat="1" x14ac:dyDescent="0.35">
      <c r="A110" s="175" t="s">
        <v>119</v>
      </c>
      <c r="B110" s="175" t="s">
        <v>120</v>
      </c>
      <c r="C110" s="194" t="s">
        <v>124</v>
      </c>
      <c r="D110" s="175" t="s">
        <v>121</v>
      </c>
      <c r="E110" s="175"/>
      <c r="F110" s="175" t="s">
        <v>6</v>
      </c>
      <c r="G110" s="174">
        <v>12.5</v>
      </c>
      <c r="H110" s="174">
        <v>3.75</v>
      </c>
      <c r="I110" s="174">
        <v>40</v>
      </c>
      <c r="J110" s="174">
        <v>65</v>
      </c>
      <c r="K110" s="115">
        <v>22</v>
      </c>
      <c r="L110" s="174">
        <v>150</v>
      </c>
      <c r="M110" s="174">
        <v>100</v>
      </c>
      <c r="N110" s="174"/>
      <c r="O110" s="174"/>
      <c r="P110" s="174">
        <v>1.8181818181818181</v>
      </c>
      <c r="Q110" s="174"/>
      <c r="R110" s="187">
        <v>2.1333333333333333</v>
      </c>
      <c r="S110" s="187">
        <v>0</v>
      </c>
      <c r="T110" s="176" t="s">
        <v>65</v>
      </c>
      <c r="U110" s="174">
        <v>3.75</v>
      </c>
      <c r="V110" s="174"/>
      <c r="W110" s="174"/>
      <c r="X110" s="174"/>
      <c r="Y110" s="174"/>
      <c r="Z110" s="174"/>
      <c r="AA110" s="174"/>
      <c r="AB110" s="174"/>
      <c r="AC110" s="175"/>
    </row>
    <row r="111" spans="1:29" s="183" customFormat="1" x14ac:dyDescent="0.35">
      <c r="A111" s="175" t="s">
        <v>119</v>
      </c>
      <c r="B111" s="175" t="s">
        <v>120</v>
      </c>
      <c r="C111" s="194" t="s">
        <v>124</v>
      </c>
      <c r="D111" s="175" t="s">
        <v>121</v>
      </c>
      <c r="E111" s="175"/>
      <c r="F111" s="175" t="s">
        <v>6</v>
      </c>
      <c r="G111" s="174">
        <v>12.5</v>
      </c>
      <c r="H111" s="174">
        <v>3.75</v>
      </c>
      <c r="I111" s="174">
        <v>40</v>
      </c>
      <c r="J111" s="174">
        <v>65</v>
      </c>
      <c r="K111" s="115">
        <v>22</v>
      </c>
      <c r="L111" s="174">
        <v>150</v>
      </c>
      <c r="M111" s="174">
        <v>100</v>
      </c>
      <c r="N111" s="174"/>
      <c r="O111" s="174"/>
      <c r="P111" s="174">
        <v>1.8181818181818181</v>
      </c>
      <c r="Q111" s="174"/>
      <c r="R111" s="187">
        <v>2.1333333333333333</v>
      </c>
      <c r="S111" s="187">
        <v>0</v>
      </c>
      <c r="T111" s="176" t="s">
        <v>65</v>
      </c>
      <c r="U111" s="174">
        <v>3.75</v>
      </c>
      <c r="V111" s="174"/>
      <c r="W111" s="174"/>
      <c r="X111" s="174"/>
      <c r="Y111" s="174"/>
      <c r="Z111" s="174"/>
      <c r="AA111" s="174"/>
      <c r="AB111" s="174"/>
      <c r="AC111" s="175"/>
    </row>
    <row r="112" spans="1:29" s="183" customFormat="1" x14ac:dyDescent="0.35">
      <c r="A112" s="175" t="s">
        <v>119</v>
      </c>
      <c r="B112" s="175" t="s">
        <v>120</v>
      </c>
      <c r="C112" s="194" t="s">
        <v>124</v>
      </c>
      <c r="D112" s="175" t="s">
        <v>121</v>
      </c>
      <c r="E112" s="175"/>
      <c r="F112" s="175" t="s">
        <v>6</v>
      </c>
      <c r="G112" s="174">
        <v>18</v>
      </c>
      <c r="H112" s="174">
        <v>5.25</v>
      </c>
      <c r="I112" s="174">
        <v>40</v>
      </c>
      <c r="J112" s="174">
        <v>65</v>
      </c>
      <c r="K112" s="115">
        <v>32</v>
      </c>
      <c r="L112" s="174">
        <v>350</v>
      </c>
      <c r="M112" s="174">
        <v>275</v>
      </c>
      <c r="N112" s="174"/>
      <c r="O112" s="174"/>
      <c r="P112" s="174">
        <v>2.1875</v>
      </c>
      <c r="Q112" s="174"/>
      <c r="R112" s="187">
        <v>1.6</v>
      </c>
      <c r="S112" s="187">
        <v>0</v>
      </c>
      <c r="T112" s="176" t="s">
        <v>65</v>
      </c>
      <c r="U112" s="174">
        <v>5.63</v>
      </c>
      <c r="V112" s="174"/>
      <c r="W112" s="174"/>
      <c r="X112" s="174"/>
      <c r="Y112" s="174"/>
      <c r="Z112" s="174"/>
      <c r="AA112" s="174"/>
      <c r="AB112" s="174"/>
      <c r="AC112" s="175"/>
    </row>
    <row r="113" spans="1:58" s="183" customFormat="1" x14ac:dyDescent="0.35">
      <c r="A113" s="175" t="s">
        <v>119</v>
      </c>
      <c r="B113" s="175" t="s">
        <v>120</v>
      </c>
      <c r="C113" s="194" t="s">
        <v>124</v>
      </c>
      <c r="D113" s="175" t="s">
        <v>121</v>
      </c>
      <c r="E113" s="175"/>
      <c r="F113" s="175" t="s">
        <v>6</v>
      </c>
      <c r="G113" s="174">
        <v>18</v>
      </c>
      <c r="H113" s="174">
        <v>5.25</v>
      </c>
      <c r="I113" s="174">
        <v>40</v>
      </c>
      <c r="J113" s="174">
        <v>65</v>
      </c>
      <c r="K113" s="115">
        <v>32</v>
      </c>
      <c r="L113" s="174">
        <v>350</v>
      </c>
      <c r="M113" s="174">
        <v>275</v>
      </c>
      <c r="N113" s="174"/>
      <c r="O113" s="174"/>
      <c r="P113" s="174">
        <v>2.1875</v>
      </c>
      <c r="Q113" s="174"/>
      <c r="R113" s="187">
        <v>1.6</v>
      </c>
      <c r="S113" s="187">
        <v>0</v>
      </c>
      <c r="T113" s="176" t="s">
        <v>65</v>
      </c>
      <c r="U113" s="174">
        <v>5.63</v>
      </c>
      <c r="V113" s="174"/>
      <c r="W113" s="174"/>
      <c r="X113" s="174"/>
      <c r="Y113" s="174"/>
      <c r="Z113" s="174"/>
      <c r="AA113" s="174"/>
      <c r="AB113" s="174"/>
      <c r="AC113" s="175"/>
    </row>
    <row r="114" spans="1:58" s="184" customFormat="1" x14ac:dyDescent="0.35">
      <c r="A114" s="175" t="s">
        <v>119</v>
      </c>
      <c r="B114" s="175" t="s">
        <v>120</v>
      </c>
      <c r="C114" s="194" t="s">
        <v>124</v>
      </c>
      <c r="D114" s="175" t="s">
        <v>121</v>
      </c>
      <c r="E114" s="175"/>
      <c r="F114" s="175" t="s">
        <v>6</v>
      </c>
      <c r="G114" s="174">
        <v>18</v>
      </c>
      <c r="H114" s="174">
        <v>5.25</v>
      </c>
      <c r="I114" s="174">
        <v>40</v>
      </c>
      <c r="J114" s="174">
        <v>65</v>
      </c>
      <c r="K114" s="115">
        <v>32</v>
      </c>
      <c r="L114" s="174">
        <v>350</v>
      </c>
      <c r="M114" s="174">
        <v>275</v>
      </c>
      <c r="N114" s="174"/>
      <c r="O114" s="174"/>
      <c r="P114" s="174">
        <v>2.1875</v>
      </c>
      <c r="Q114" s="174"/>
      <c r="R114" s="187">
        <v>1.6</v>
      </c>
      <c r="S114" s="187">
        <v>0</v>
      </c>
      <c r="T114" s="176" t="s">
        <v>65</v>
      </c>
      <c r="U114" s="174">
        <v>5.63</v>
      </c>
      <c r="V114" s="174"/>
      <c r="W114" s="174"/>
      <c r="X114" s="174"/>
      <c r="Y114" s="174"/>
      <c r="Z114" s="174"/>
      <c r="AA114" s="174"/>
      <c r="AB114" s="174"/>
      <c r="AC114" s="175"/>
    </row>
    <row r="115" spans="1:58" x14ac:dyDescent="0.35">
      <c r="A115" s="175" t="s">
        <v>119</v>
      </c>
      <c r="B115" s="175" t="s">
        <v>125</v>
      </c>
      <c r="C115" s="175">
        <v>2239756</v>
      </c>
      <c r="D115" s="175" t="s">
        <v>121</v>
      </c>
      <c r="E115" s="175" t="s">
        <v>122</v>
      </c>
      <c r="F115" s="175" t="s">
        <v>11</v>
      </c>
      <c r="G115" s="174">
        <v>1654</v>
      </c>
      <c r="H115" s="174">
        <v>5517</v>
      </c>
      <c r="I115" s="174">
        <v>52</v>
      </c>
      <c r="J115" s="174">
        <v>60</v>
      </c>
      <c r="K115" s="188">
        <v>16</v>
      </c>
      <c r="L115" s="174">
        <v>161.1</v>
      </c>
      <c r="M115" s="174">
        <v>173.2</v>
      </c>
      <c r="N115" s="174"/>
      <c r="O115" s="174"/>
      <c r="P115" s="174">
        <v>5.8125000000000003E-2</v>
      </c>
      <c r="Q115" s="174">
        <v>7.9375000000000001E-2</v>
      </c>
      <c r="R115" s="187">
        <v>4.6182495344506524E-2</v>
      </c>
      <c r="S115" s="187">
        <v>5.3161085450346424E-2</v>
      </c>
      <c r="T115" s="182" t="s">
        <v>66</v>
      </c>
      <c r="U115" s="174">
        <v>6773</v>
      </c>
      <c r="BA115" s="173"/>
      <c r="BB115" s="173"/>
      <c r="BC115" s="173"/>
      <c r="BD115" s="173"/>
      <c r="BE115" s="173"/>
      <c r="BF115" s="173"/>
    </row>
    <row r="116" spans="1:58" x14ac:dyDescent="0.35">
      <c r="A116" s="175" t="s">
        <v>119</v>
      </c>
      <c r="B116" s="175" t="s">
        <v>125</v>
      </c>
      <c r="C116" s="175">
        <v>2238456</v>
      </c>
      <c r="D116" s="175" t="s">
        <v>121</v>
      </c>
      <c r="E116" s="175" t="s">
        <v>122</v>
      </c>
      <c r="F116" s="175" t="s">
        <v>11</v>
      </c>
      <c r="G116" s="174">
        <v>7439</v>
      </c>
      <c r="H116" s="174">
        <v>5438</v>
      </c>
      <c r="I116" s="174">
        <v>51</v>
      </c>
      <c r="J116" s="174">
        <v>62</v>
      </c>
      <c r="K116" s="188">
        <v>14</v>
      </c>
      <c r="L116" s="174">
        <v>167.4</v>
      </c>
      <c r="M116" s="174">
        <v>131.80000000000001</v>
      </c>
      <c r="N116" s="174"/>
      <c r="O116" s="174"/>
      <c r="P116" s="174">
        <v>0.30714285714285711</v>
      </c>
      <c r="Q116" s="174">
        <v>0</v>
      </c>
      <c r="R116" s="187">
        <v>0.20549581839904416</v>
      </c>
      <c r="S116" s="187">
        <v>0</v>
      </c>
      <c r="T116" s="182" t="s">
        <v>66</v>
      </c>
      <c r="U116" s="174">
        <v>5187</v>
      </c>
      <c r="BA116" s="173"/>
      <c r="BB116" s="173"/>
      <c r="BC116" s="173"/>
      <c r="BD116" s="173"/>
      <c r="BE116" s="173"/>
      <c r="BF116" s="173"/>
    </row>
    <row r="117" spans="1:58" x14ac:dyDescent="0.35">
      <c r="A117" s="175" t="s">
        <v>119</v>
      </c>
      <c r="B117" s="175" t="s">
        <v>125</v>
      </c>
      <c r="C117" s="175">
        <v>2253463</v>
      </c>
      <c r="D117" s="175" t="s">
        <v>121</v>
      </c>
      <c r="E117" s="175" t="s">
        <v>122</v>
      </c>
      <c r="F117" s="175" t="s">
        <v>11</v>
      </c>
      <c r="G117" s="174">
        <v>5003</v>
      </c>
      <c r="H117" s="174">
        <v>5101</v>
      </c>
      <c r="I117" s="174">
        <v>58</v>
      </c>
      <c r="J117" s="174">
        <v>62</v>
      </c>
      <c r="K117" s="188">
        <v>14</v>
      </c>
      <c r="L117" s="174">
        <v>204.1</v>
      </c>
      <c r="M117" s="174">
        <v>140.9</v>
      </c>
      <c r="N117" s="174"/>
      <c r="O117" s="174"/>
      <c r="P117" s="174">
        <v>0.17857142857142858</v>
      </c>
      <c r="Q117" s="174">
        <v>0</v>
      </c>
      <c r="R117" s="187">
        <v>9.7991180793728566E-2</v>
      </c>
      <c r="S117" s="187">
        <v>0</v>
      </c>
      <c r="T117" s="182" t="s">
        <v>66</v>
      </c>
      <c r="U117" s="174">
        <v>4977</v>
      </c>
      <c r="BA117" s="173"/>
      <c r="BB117" s="173"/>
      <c r="BC117" s="173"/>
      <c r="BD117" s="173"/>
      <c r="BE117" s="173"/>
      <c r="BF117" s="173"/>
    </row>
    <row r="118" spans="1:58" x14ac:dyDescent="0.35">
      <c r="A118" s="175" t="s">
        <v>119</v>
      </c>
      <c r="B118" s="175" t="s">
        <v>125</v>
      </c>
      <c r="C118" s="175">
        <v>2341513</v>
      </c>
      <c r="D118" s="175" t="s">
        <v>121</v>
      </c>
      <c r="E118" s="175" t="s">
        <v>123</v>
      </c>
      <c r="F118" s="175" t="s">
        <v>11</v>
      </c>
      <c r="G118" s="174">
        <v>5038</v>
      </c>
      <c r="H118" s="174">
        <v>3158</v>
      </c>
      <c r="I118" s="174">
        <v>43</v>
      </c>
      <c r="J118" s="174">
        <v>58</v>
      </c>
      <c r="K118" s="188">
        <v>6</v>
      </c>
      <c r="L118" s="174">
        <v>126.07</v>
      </c>
      <c r="M118" s="174">
        <v>62.95</v>
      </c>
      <c r="N118" s="174"/>
      <c r="O118" s="174"/>
      <c r="P118" s="174">
        <v>0.3833333333333333</v>
      </c>
      <c r="Q118" s="174">
        <v>0</v>
      </c>
      <c r="R118" s="187">
        <v>0.14595066233045134</v>
      </c>
      <c r="S118" s="187">
        <v>0</v>
      </c>
      <c r="T118" s="182" t="s">
        <v>66</v>
      </c>
      <c r="U118" s="174"/>
      <c r="BA118" s="173"/>
      <c r="BB118" s="173"/>
      <c r="BC118" s="173"/>
      <c r="BD118" s="173"/>
      <c r="BE118" s="173"/>
      <c r="BF118" s="173"/>
    </row>
    <row r="119" spans="1:58" x14ac:dyDescent="0.35">
      <c r="A119" s="175" t="s">
        <v>119</v>
      </c>
      <c r="B119" s="175" t="s">
        <v>125</v>
      </c>
      <c r="C119" s="175">
        <v>2356781</v>
      </c>
      <c r="D119" s="175" t="s">
        <v>121</v>
      </c>
      <c r="E119" s="175" t="s">
        <v>123</v>
      </c>
      <c r="F119" s="175" t="s">
        <v>11</v>
      </c>
      <c r="G119" s="174">
        <v>6232</v>
      </c>
      <c r="H119" s="174">
        <v>4223</v>
      </c>
      <c r="I119" s="174">
        <v>45</v>
      </c>
      <c r="J119" s="174">
        <v>63</v>
      </c>
      <c r="K119" s="188">
        <v>10</v>
      </c>
      <c r="L119" s="174">
        <v>200.12</v>
      </c>
      <c r="M119" s="174">
        <v>98.27</v>
      </c>
      <c r="N119" s="174"/>
      <c r="O119" s="174"/>
      <c r="P119" s="174">
        <v>0.39</v>
      </c>
      <c r="Q119" s="174">
        <v>0</v>
      </c>
      <c r="R119" s="187">
        <v>0.1559064561263242</v>
      </c>
      <c r="S119" s="187">
        <v>0</v>
      </c>
      <c r="T119" s="182" t="s">
        <v>66</v>
      </c>
      <c r="U119" s="174"/>
      <c r="BA119" s="173"/>
      <c r="BB119" s="173"/>
      <c r="BC119" s="173"/>
      <c r="BD119" s="173"/>
      <c r="BE119" s="173"/>
      <c r="BF119" s="173"/>
    </row>
    <row r="120" spans="1:58" x14ac:dyDescent="0.35">
      <c r="A120" s="175" t="s">
        <v>119</v>
      </c>
      <c r="B120" s="175" t="s">
        <v>125</v>
      </c>
      <c r="C120" s="175">
        <v>2327372</v>
      </c>
      <c r="D120" s="175" t="s">
        <v>121</v>
      </c>
      <c r="E120" s="175" t="s">
        <v>122</v>
      </c>
      <c r="F120" s="175" t="s">
        <v>11</v>
      </c>
      <c r="G120" s="174">
        <v>6485</v>
      </c>
      <c r="H120" s="174">
        <v>6585</v>
      </c>
      <c r="I120" s="174">
        <v>48</v>
      </c>
      <c r="J120" s="174">
        <v>62</v>
      </c>
      <c r="K120" s="188">
        <v>20</v>
      </c>
      <c r="L120" s="174">
        <v>264.7</v>
      </c>
      <c r="M120" s="174">
        <v>193.1</v>
      </c>
      <c r="N120" s="174"/>
      <c r="O120" s="174"/>
      <c r="P120" s="174">
        <v>0.42000000000000004</v>
      </c>
      <c r="Q120" s="174">
        <v>0.47000000000000003</v>
      </c>
      <c r="R120" s="187">
        <v>0.2538723082735172</v>
      </c>
      <c r="S120" s="187">
        <v>0.3529259451061626</v>
      </c>
      <c r="T120" s="182" t="s">
        <v>66</v>
      </c>
      <c r="U120" s="174">
        <v>15083</v>
      </c>
      <c r="BA120" s="173"/>
      <c r="BB120" s="173"/>
      <c r="BC120" s="173"/>
      <c r="BD120" s="173"/>
      <c r="BE120" s="173"/>
      <c r="BF120" s="173"/>
    </row>
    <row r="121" spans="1:58" x14ac:dyDescent="0.35">
      <c r="A121" s="175" t="s">
        <v>119</v>
      </c>
      <c r="B121" s="175" t="s">
        <v>125</v>
      </c>
      <c r="C121" s="175">
        <v>2327389</v>
      </c>
      <c r="D121" s="175" t="s">
        <v>121</v>
      </c>
      <c r="E121" s="175" t="s">
        <v>122</v>
      </c>
      <c r="F121" s="175" t="s">
        <v>11</v>
      </c>
      <c r="G121" s="174">
        <v>7761</v>
      </c>
      <c r="H121" s="174">
        <v>6585</v>
      </c>
      <c r="I121" s="174">
        <v>55</v>
      </c>
      <c r="J121" s="174">
        <v>62</v>
      </c>
      <c r="K121" s="188">
        <v>20</v>
      </c>
      <c r="L121" s="174">
        <v>180</v>
      </c>
      <c r="M121" s="174">
        <v>193.1</v>
      </c>
      <c r="N121" s="174"/>
      <c r="O121" s="174"/>
      <c r="P121" s="174">
        <v>0.23500000000000001</v>
      </c>
      <c r="Q121" s="174">
        <v>0.47000000000000003</v>
      </c>
      <c r="R121" s="187">
        <v>0.2088888888888889</v>
      </c>
      <c r="S121" s="187">
        <v>0.3529259451061626</v>
      </c>
      <c r="T121" s="182" t="s">
        <v>66</v>
      </c>
      <c r="U121" s="174"/>
      <c r="BA121" s="173"/>
      <c r="BB121" s="173"/>
      <c r="BC121" s="173"/>
      <c r="BD121" s="173"/>
      <c r="BE121" s="173"/>
      <c r="BF121" s="173"/>
    </row>
    <row r="122" spans="1:58" x14ac:dyDescent="0.35">
      <c r="A122" s="175" t="s">
        <v>119</v>
      </c>
      <c r="B122" s="175" t="s">
        <v>125</v>
      </c>
      <c r="C122" s="175">
        <v>2232233</v>
      </c>
      <c r="D122" s="175" t="s">
        <v>121</v>
      </c>
      <c r="E122" s="175" t="s">
        <v>123</v>
      </c>
      <c r="F122" s="175" t="s">
        <v>11</v>
      </c>
      <c r="G122" s="174">
        <v>4570</v>
      </c>
      <c r="H122" s="174">
        <v>3290</v>
      </c>
      <c r="I122" s="174">
        <v>47</v>
      </c>
      <c r="J122" s="174">
        <v>64</v>
      </c>
      <c r="K122" s="188">
        <v>6</v>
      </c>
      <c r="L122" s="174">
        <v>113.54</v>
      </c>
      <c r="M122" s="174">
        <v>55.82</v>
      </c>
      <c r="N122" s="174"/>
      <c r="O122" s="174"/>
      <c r="P122" s="174">
        <v>6.6666666666666666E-2</v>
      </c>
      <c r="Q122" s="174">
        <v>0</v>
      </c>
      <c r="R122" s="187">
        <v>2.8183899947155186E-2</v>
      </c>
      <c r="S122" s="187">
        <v>0</v>
      </c>
      <c r="T122" s="182" t="s">
        <v>66</v>
      </c>
      <c r="U122" s="174"/>
      <c r="BA122" s="173"/>
      <c r="BB122" s="173"/>
      <c r="BC122" s="173"/>
      <c r="BD122" s="173"/>
      <c r="BE122" s="173"/>
      <c r="BF122" s="173"/>
    </row>
    <row r="123" spans="1:58" x14ac:dyDescent="0.35">
      <c r="A123" s="175" t="s">
        <v>119</v>
      </c>
      <c r="B123" s="175" t="s">
        <v>125</v>
      </c>
      <c r="C123" s="175">
        <v>2232236</v>
      </c>
      <c r="D123" s="175" t="s">
        <v>121</v>
      </c>
      <c r="E123" s="175" t="s">
        <v>122</v>
      </c>
      <c r="F123" s="175" t="s">
        <v>11</v>
      </c>
      <c r="G123" s="174">
        <v>5302</v>
      </c>
      <c r="H123" s="174">
        <v>3990</v>
      </c>
      <c r="I123" s="174">
        <v>53</v>
      </c>
      <c r="J123" s="174">
        <v>67</v>
      </c>
      <c r="K123" s="188">
        <v>6</v>
      </c>
      <c r="L123" s="174">
        <v>217</v>
      </c>
      <c r="M123" s="174">
        <v>119.45</v>
      </c>
      <c r="N123" s="174"/>
      <c r="O123" s="174"/>
      <c r="P123" s="174">
        <v>9.1666666666666674E-2</v>
      </c>
      <c r="Q123" s="174">
        <v>0</v>
      </c>
      <c r="R123" s="187">
        <v>2.0276497695852536E-2</v>
      </c>
      <c r="S123" s="187">
        <v>0</v>
      </c>
      <c r="T123" s="182" t="s">
        <v>66</v>
      </c>
      <c r="U123" s="174"/>
      <c r="BA123" s="173"/>
      <c r="BB123" s="173"/>
      <c r="BC123" s="173"/>
      <c r="BD123" s="173"/>
      <c r="BE123" s="173"/>
      <c r="BF123" s="173"/>
    </row>
    <row r="124" spans="1:58" x14ac:dyDescent="0.35">
      <c r="A124" s="175" t="s">
        <v>119</v>
      </c>
      <c r="B124" s="175" t="s">
        <v>125</v>
      </c>
      <c r="C124" s="175">
        <v>2359354</v>
      </c>
      <c r="D124" s="175" t="s">
        <v>121</v>
      </c>
      <c r="E124" s="175" t="s">
        <v>123</v>
      </c>
      <c r="F124" s="175" t="s">
        <v>11</v>
      </c>
      <c r="G124" s="174">
        <v>3614</v>
      </c>
      <c r="H124" s="174">
        <v>2732</v>
      </c>
      <c r="I124" s="174">
        <v>46</v>
      </c>
      <c r="J124" s="174">
        <v>60</v>
      </c>
      <c r="K124" s="188">
        <v>6</v>
      </c>
      <c r="L124" s="174">
        <v>115.63</v>
      </c>
      <c r="M124" s="174">
        <v>56.72</v>
      </c>
      <c r="N124" s="174"/>
      <c r="O124" s="174"/>
      <c r="P124" s="174">
        <v>0.3666666666666667</v>
      </c>
      <c r="Q124" s="174">
        <v>0</v>
      </c>
      <c r="R124" s="187">
        <v>0.15220963417798153</v>
      </c>
      <c r="S124" s="187">
        <v>0</v>
      </c>
      <c r="T124" s="182" t="s">
        <v>66</v>
      </c>
      <c r="U124" s="174">
        <v>2830</v>
      </c>
      <c r="BA124" s="173"/>
      <c r="BB124" s="173"/>
      <c r="BC124" s="173"/>
      <c r="BD124" s="173"/>
      <c r="BE124" s="173"/>
      <c r="BF124" s="173"/>
    </row>
    <row r="125" spans="1:58" x14ac:dyDescent="0.35">
      <c r="A125" s="175" t="s">
        <v>119</v>
      </c>
      <c r="B125" s="175" t="s">
        <v>125</v>
      </c>
      <c r="C125" s="175">
        <v>2359358</v>
      </c>
      <c r="D125" s="175" t="s">
        <v>121</v>
      </c>
      <c r="E125" s="175" t="s">
        <v>123</v>
      </c>
      <c r="F125" s="175" t="s">
        <v>11</v>
      </c>
      <c r="G125" s="174">
        <v>7741</v>
      </c>
      <c r="H125" s="174">
        <v>3833</v>
      </c>
      <c r="I125" s="174">
        <v>50</v>
      </c>
      <c r="J125" s="174">
        <v>62</v>
      </c>
      <c r="K125" s="188">
        <v>10</v>
      </c>
      <c r="L125" s="174">
        <v>194.6</v>
      </c>
      <c r="M125" s="174">
        <v>112</v>
      </c>
      <c r="N125" s="174"/>
      <c r="O125" s="174"/>
      <c r="P125" s="174">
        <v>0.42099999999999999</v>
      </c>
      <c r="Q125" s="174">
        <v>1.0999999999999999E-2</v>
      </c>
      <c r="R125" s="187">
        <v>0.17307297019527235</v>
      </c>
      <c r="S125" s="187">
        <v>7.1205357142857138E-3</v>
      </c>
      <c r="T125" s="182" t="s">
        <v>66</v>
      </c>
      <c r="U125" s="174">
        <v>4438</v>
      </c>
      <c r="BA125" s="173"/>
      <c r="BB125" s="173"/>
      <c r="BC125" s="173"/>
      <c r="BD125" s="173"/>
      <c r="BE125" s="173"/>
      <c r="BF125" s="173"/>
    </row>
    <row r="126" spans="1:58" x14ac:dyDescent="0.35">
      <c r="A126" s="175" t="s">
        <v>119</v>
      </c>
      <c r="B126" s="175" t="s">
        <v>125</v>
      </c>
      <c r="C126" s="175">
        <v>2359357</v>
      </c>
      <c r="D126" s="175" t="s">
        <v>121</v>
      </c>
      <c r="E126" s="175" t="s">
        <v>122</v>
      </c>
      <c r="F126" s="175" t="s">
        <v>11</v>
      </c>
      <c r="G126" s="174">
        <v>7108</v>
      </c>
      <c r="H126" s="174">
        <v>4144</v>
      </c>
      <c r="I126" s="174">
        <v>48</v>
      </c>
      <c r="J126" s="174">
        <v>63</v>
      </c>
      <c r="K126" s="188">
        <v>12</v>
      </c>
      <c r="L126" s="174">
        <v>210.1</v>
      </c>
      <c r="M126" s="174">
        <v>130.69999999999999</v>
      </c>
      <c r="N126" s="174"/>
      <c r="O126" s="174"/>
      <c r="P126" s="174">
        <v>0.73333333333333339</v>
      </c>
      <c r="Q126" s="174">
        <v>2.5000000000000001E-3</v>
      </c>
      <c r="R126" s="187">
        <v>0.33507853403141363</v>
      </c>
      <c r="S126" s="187">
        <v>1.6641162968630452E-3</v>
      </c>
      <c r="T126" s="182" t="s">
        <v>66</v>
      </c>
      <c r="U126" s="174">
        <v>4823</v>
      </c>
      <c r="BA126" s="173"/>
      <c r="BB126" s="173"/>
      <c r="BC126" s="173"/>
      <c r="BD126" s="173"/>
      <c r="BE126" s="173"/>
      <c r="BF126" s="173"/>
    </row>
    <row r="127" spans="1:58" x14ac:dyDescent="0.35">
      <c r="A127" s="175" t="s">
        <v>119</v>
      </c>
      <c r="B127" s="175" t="s">
        <v>125</v>
      </c>
      <c r="C127" s="175">
        <v>2359359</v>
      </c>
      <c r="D127" s="175" t="s">
        <v>121</v>
      </c>
      <c r="E127" s="175" t="s">
        <v>122</v>
      </c>
      <c r="F127" s="175" t="s">
        <v>11</v>
      </c>
      <c r="G127" s="174">
        <v>6653</v>
      </c>
      <c r="H127" s="174">
        <v>5140</v>
      </c>
      <c r="I127" s="174">
        <v>54</v>
      </c>
      <c r="J127" s="174">
        <v>59</v>
      </c>
      <c r="K127" s="188">
        <v>20</v>
      </c>
      <c r="L127" s="174">
        <v>393.7</v>
      </c>
      <c r="M127" s="174">
        <v>214.8</v>
      </c>
      <c r="N127" s="174"/>
      <c r="O127" s="174"/>
      <c r="P127" s="174">
        <v>0.311</v>
      </c>
      <c r="Q127" s="174">
        <v>1.5E-3</v>
      </c>
      <c r="R127" s="187">
        <v>0.12639065278130557</v>
      </c>
      <c r="S127" s="187">
        <v>1.0125698324022347E-3</v>
      </c>
      <c r="T127" s="182" t="s">
        <v>66</v>
      </c>
      <c r="U127" s="174">
        <v>6729</v>
      </c>
      <c r="BA127" s="173"/>
      <c r="BB127" s="173"/>
      <c r="BC127" s="173"/>
      <c r="BD127" s="173"/>
      <c r="BE127" s="173"/>
      <c r="BF127" s="173"/>
    </row>
    <row r="128" spans="1:58" x14ac:dyDescent="0.35">
      <c r="A128" s="175" t="s">
        <v>119</v>
      </c>
      <c r="B128" s="175" t="s">
        <v>125</v>
      </c>
      <c r="C128" s="175">
        <v>2359352</v>
      </c>
      <c r="D128" s="175" t="s">
        <v>121</v>
      </c>
      <c r="E128" s="175" t="s">
        <v>123</v>
      </c>
      <c r="F128" s="175" t="s">
        <v>11</v>
      </c>
      <c r="G128" s="174">
        <v>6538</v>
      </c>
      <c r="H128" s="174">
        <v>6015</v>
      </c>
      <c r="I128" s="174">
        <v>46</v>
      </c>
      <c r="J128" s="174">
        <v>65</v>
      </c>
      <c r="K128" s="188">
        <v>20</v>
      </c>
      <c r="L128" s="174">
        <v>381.44</v>
      </c>
      <c r="M128" s="174">
        <v>190.4</v>
      </c>
      <c r="N128" s="174"/>
      <c r="O128" s="174"/>
      <c r="P128" s="174">
        <v>0.6</v>
      </c>
      <c r="Q128" s="174">
        <v>0</v>
      </c>
      <c r="R128" s="187">
        <v>0.25167785234899326</v>
      </c>
      <c r="S128" s="187">
        <v>0</v>
      </c>
      <c r="T128" s="182" t="s">
        <v>66</v>
      </c>
      <c r="U128" s="174">
        <v>6681</v>
      </c>
      <c r="BA128" s="173"/>
      <c r="BB128" s="173"/>
      <c r="BC128" s="173"/>
      <c r="BD128" s="173"/>
      <c r="BE128" s="173"/>
      <c r="BF128" s="173"/>
    </row>
    <row r="129" spans="1:58" x14ac:dyDescent="0.35">
      <c r="A129" s="175" t="s">
        <v>119</v>
      </c>
      <c r="B129" s="175" t="s">
        <v>125</v>
      </c>
      <c r="C129" s="175">
        <v>2359353</v>
      </c>
      <c r="D129" s="175" t="s">
        <v>121</v>
      </c>
      <c r="E129" s="175" t="s">
        <v>122</v>
      </c>
      <c r="F129" s="175" t="s">
        <v>11</v>
      </c>
      <c r="G129" s="174">
        <v>12015</v>
      </c>
      <c r="H129" s="174">
        <v>7401</v>
      </c>
      <c r="I129" s="174">
        <v>55</v>
      </c>
      <c r="J129" s="174">
        <v>62</v>
      </c>
      <c r="K129" s="188">
        <v>40</v>
      </c>
      <c r="L129" s="174">
        <v>690.71</v>
      </c>
      <c r="M129" s="174">
        <v>383.41</v>
      </c>
      <c r="N129" s="174"/>
      <c r="O129" s="174"/>
      <c r="P129" s="174">
        <v>0.505</v>
      </c>
      <c r="Q129" s="174">
        <v>2.5000000000000001E-3</v>
      </c>
      <c r="R129" s="187">
        <v>0.23396215488410477</v>
      </c>
      <c r="S129" s="187">
        <v>1.8909261625935682E-3</v>
      </c>
      <c r="T129" s="182" t="s">
        <v>66</v>
      </c>
      <c r="U129" s="174">
        <v>14615</v>
      </c>
      <c r="BA129" s="173"/>
      <c r="BB129" s="173"/>
      <c r="BC129" s="173"/>
      <c r="BD129" s="173"/>
      <c r="BE129" s="173"/>
      <c r="BF129" s="173"/>
    </row>
    <row r="130" spans="1:58" x14ac:dyDescent="0.35">
      <c r="A130" s="175" t="s">
        <v>119</v>
      </c>
      <c r="B130" s="175" t="s">
        <v>125</v>
      </c>
      <c r="C130" s="175">
        <v>2359753</v>
      </c>
      <c r="D130" s="175" t="s">
        <v>121</v>
      </c>
      <c r="E130" s="175" t="s">
        <v>123</v>
      </c>
      <c r="F130" s="175" t="s">
        <v>11</v>
      </c>
      <c r="G130" s="174">
        <v>5596</v>
      </c>
      <c r="H130" s="174">
        <v>4660</v>
      </c>
      <c r="I130" s="174">
        <v>47</v>
      </c>
      <c r="J130" s="174">
        <v>58</v>
      </c>
      <c r="K130" s="188">
        <v>7</v>
      </c>
      <c r="L130" s="174">
        <v>120.35</v>
      </c>
      <c r="M130" s="174">
        <v>73.87</v>
      </c>
      <c r="N130" s="174"/>
      <c r="O130" s="174"/>
      <c r="P130" s="174">
        <v>0.42142857142857143</v>
      </c>
      <c r="Q130" s="174">
        <v>0</v>
      </c>
      <c r="R130" s="187">
        <v>0.19609472372247613</v>
      </c>
      <c r="S130" s="187">
        <v>0</v>
      </c>
      <c r="T130" s="182" t="s">
        <v>66</v>
      </c>
      <c r="U130" s="174"/>
      <c r="BA130" s="173"/>
      <c r="BB130" s="173"/>
      <c r="BC130" s="173"/>
      <c r="BD130" s="173"/>
      <c r="BE130" s="173"/>
      <c r="BF130" s="173"/>
    </row>
    <row r="131" spans="1:58" x14ac:dyDescent="0.35">
      <c r="A131" s="175" t="s">
        <v>119</v>
      </c>
      <c r="B131" s="175" t="s">
        <v>125</v>
      </c>
      <c r="C131" s="175">
        <v>2295147</v>
      </c>
      <c r="D131" s="175" t="s">
        <v>121</v>
      </c>
      <c r="E131" s="175" t="s">
        <v>123</v>
      </c>
      <c r="F131" s="175" t="s">
        <v>11</v>
      </c>
      <c r="G131" s="174">
        <v>3190</v>
      </c>
      <c r="H131" s="174">
        <v>2825</v>
      </c>
      <c r="I131" s="174">
        <v>57</v>
      </c>
      <c r="J131" s="174">
        <v>59</v>
      </c>
      <c r="K131" s="188">
        <v>10</v>
      </c>
      <c r="L131" s="174">
        <v>145</v>
      </c>
      <c r="M131" s="174">
        <v>94.8</v>
      </c>
      <c r="N131" s="174"/>
      <c r="O131" s="174"/>
      <c r="P131" s="174">
        <v>0.20699999999999999</v>
      </c>
      <c r="Q131" s="174">
        <v>0</v>
      </c>
      <c r="R131" s="187">
        <v>0.11420689655172413</v>
      </c>
      <c r="S131" s="187">
        <v>0</v>
      </c>
      <c r="T131" s="182" t="s">
        <v>66</v>
      </c>
      <c r="U131" s="174"/>
      <c r="BA131" s="173"/>
      <c r="BB131" s="173"/>
      <c r="BC131" s="173"/>
      <c r="BD131" s="173"/>
      <c r="BE131" s="173"/>
      <c r="BF131" s="173"/>
    </row>
    <row r="132" spans="1:58" x14ac:dyDescent="0.35">
      <c r="A132" s="175" t="s">
        <v>119</v>
      </c>
      <c r="B132" s="175" t="s">
        <v>125</v>
      </c>
      <c r="C132" s="175">
        <v>2362228</v>
      </c>
      <c r="D132" s="175" t="s">
        <v>121</v>
      </c>
      <c r="E132" s="175" t="s">
        <v>123</v>
      </c>
      <c r="F132" s="175" t="s">
        <v>11</v>
      </c>
      <c r="G132" s="174">
        <v>6002</v>
      </c>
      <c r="H132" s="174">
        <v>4968</v>
      </c>
      <c r="I132" s="174">
        <v>51</v>
      </c>
      <c r="J132" s="174">
        <v>61</v>
      </c>
      <c r="K132" s="188">
        <v>10</v>
      </c>
      <c r="L132" s="174">
        <v>145.5</v>
      </c>
      <c r="M132" s="174">
        <v>89.4</v>
      </c>
      <c r="N132" s="174"/>
      <c r="O132" s="174"/>
      <c r="P132" s="174">
        <v>0.42000000000000004</v>
      </c>
      <c r="Q132" s="174">
        <v>0</v>
      </c>
      <c r="R132" s="187">
        <v>0.23092783505154643</v>
      </c>
      <c r="S132" s="187">
        <v>0</v>
      </c>
      <c r="T132" s="182" t="s">
        <v>66</v>
      </c>
      <c r="U132" s="174"/>
      <c r="BA132" s="173"/>
      <c r="BB132" s="173"/>
      <c r="BC132" s="173"/>
      <c r="BD132" s="173"/>
      <c r="BE132" s="173"/>
      <c r="BF132" s="173"/>
    </row>
    <row r="133" spans="1:58" x14ac:dyDescent="0.35">
      <c r="A133" s="175" t="s">
        <v>119</v>
      </c>
      <c r="B133" s="175" t="s">
        <v>125</v>
      </c>
      <c r="C133" s="175">
        <v>2268438</v>
      </c>
      <c r="D133" s="175" t="s">
        <v>121</v>
      </c>
      <c r="E133" s="175" t="s">
        <v>122</v>
      </c>
      <c r="F133" s="175" t="s">
        <v>11</v>
      </c>
      <c r="G133" s="174">
        <v>3869</v>
      </c>
      <c r="H133" s="174">
        <v>2330</v>
      </c>
      <c r="I133" s="174">
        <v>48</v>
      </c>
      <c r="J133" s="174">
        <v>57</v>
      </c>
      <c r="K133" s="188">
        <v>12</v>
      </c>
      <c r="L133" s="174">
        <v>76.760000000000005</v>
      </c>
      <c r="M133" s="174">
        <v>52.38</v>
      </c>
      <c r="N133" s="174"/>
      <c r="O133" s="174"/>
      <c r="P133" s="174">
        <v>0.35833333333333334</v>
      </c>
      <c r="Q133" s="174">
        <v>0</v>
      </c>
      <c r="R133" s="187">
        <v>0.44815007816571129</v>
      </c>
      <c r="S133" s="187">
        <v>0</v>
      </c>
      <c r="T133" s="182" t="s">
        <v>66</v>
      </c>
      <c r="U133" s="174">
        <v>5911</v>
      </c>
      <c r="BA133" s="173"/>
      <c r="BB133" s="173"/>
      <c r="BC133" s="173"/>
      <c r="BD133" s="173"/>
      <c r="BE133" s="173"/>
      <c r="BF133" s="173"/>
    </row>
    <row r="134" spans="1:58" x14ac:dyDescent="0.35">
      <c r="A134" s="175" t="s">
        <v>119</v>
      </c>
      <c r="B134" s="175" t="s">
        <v>125</v>
      </c>
      <c r="C134" s="175">
        <v>2263535</v>
      </c>
      <c r="D134" s="175" t="s">
        <v>121</v>
      </c>
      <c r="E134" s="175" t="s">
        <v>122</v>
      </c>
      <c r="F134" s="175" t="s">
        <v>11</v>
      </c>
      <c r="G134" s="174">
        <v>4765</v>
      </c>
      <c r="H134" s="174">
        <v>4051</v>
      </c>
      <c r="I134" s="174">
        <v>49</v>
      </c>
      <c r="J134" s="174">
        <v>63</v>
      </c>
      <c r="K134" s="188">
        <v>20</v>
      </c>
      <c r="L134" s="174">
        <v>260</v>
      </c>
      <c r="M134" s="174">
        <v>188.6</v>
      </c>
      <c r="N134" s="174"/>
      <c r="O134" s="174"/>
      <c r="P134" s="174">
        <v>0.63500000000000001</v>
      </c>
      <c r="Q134" s="174">
        <v>0</v>
      </c>
      <c r="R134" s="187">
        <v>0.39076923076923081</v>
      </c>
      <c r="S134" s="187">
        <v>0</v>
      </c>
      <c r="T134" s="182" t="s">
        <v>66</v>
      </c>
      <c r="U134" s="174">
        <v>7975</v>
      </c>
      <c r="BA134" s="173"/>
      <c r="BB134" s="173"/>
      <c r="BC134" s="173"/>
      <c r="BD134" s="173"/>
      <c r="BE134" s="173"/>
      <c r="BF134" s="173"/>
    </row>
    <row r="135" spans="1:58" x14ac:dyDescent="0.35">
      <c r="A135" s="175" t="s">
        <v>119</v>
      </c>
      <c r="B135" s="175" t="s">
        <v>125</v>
      </c>
      <c r="C135" s="175">
        <v>2359758</v>
      </c>
      <c r="D135" s="175" t="s">
        <v>121</v>
      </c>
      <c r="E135" s="175" t="s">
        <v>123</v>
      </c>
      <c r="F135" s="175" t="s">
        <v>11</v>
      </c>
      <c r="G135" s="174">
        <v>6837</v>
      </c>
      <c r="H135" s="174">
        <v>6110</v>
      </c>
      <c r="I135" s="174">
        <v>56</v>
      </c>
      <c r="J135" s="174">
        <v>57</v>
      </c>
      <c r="K135" s="188">
        <v>20</v>
      </c>
      <c r="L135" s="174">
        <v>395.2</v>
      </c>
      <c r="M135" s="174">
        <v>207.5</v>
      </c>
      <c r="N135" s="174"/>
      <c r="O135" s="174"/>
      <c r="P135" s="174">
        <v>0.82499999999999996</v>
      </c>
      <c r="Q135" s="174">
        <v>0</v>
      </c>
      <c r="R135" s="187">
        <v>0.33400809716599189</v>
      </c>
      <c r="S135" s="187">
        <v>0</v>
      </c>
      <c r="T135" s="182" t="s">
        <v>66</v>
      </c>
      <c r="U135" s="174"/>
      <c r="BA135" s="173"/>
      <c r="BB135" s="173"/>
      <c r="BC135" s="173"/>
      <c r="BD135" s="173"/>
      <c r="BE135" s="173"/>
      <c r="BF135" s="173"/>
    </row>
    <row r="136" spans="1:58" x14ac:dyDescent="0.35">
      <c r="A136" s="175" t="s">
        <v>119</v>
      </c>
      <c r="B136" s="175" t="s">
        <v>125</v>
      </c>
      <c r="C136" s="175">
        <v>2287467</v>
      </c>
      <c r="D136" s="175" t="s">
        <v>121</v>
      </c>
      <c r="E136" s="175" t="s">
        <v>122</v>
      </c>
      <c r="F136" s="175" t="s">
        <v>11</v>
      </c>
      <c r="G136" s="174">
        <v>5456</v>
      </c>
      <c r="H136" s="174">
        <v>5950</v>
      </c>
      <c r="I136" s="174">
        <v>47</v>
      </c>
      <c r="J136" s="174">
        <v>59</v>
      </c>
      <c r="K136" s="188">
        <v>14</v>
      </c>
      <c r="L136" s="174">
        <v>249.8</v>
      </c>
      <c r="M136" s="174">
        <v>141.69999999999999</v>
      </c>
      <c r="N136" s="174"/>
      <c r="O136" s="174"/>
      <c r="P136" s="174">
        <v>0.87142857142857133</v>
      </c>
      <c r="Q136" s="174">
        <v>0.75714285714285712</v>
      </c>
      <c r="R136" s="187">
        <v>0.39071257005604476</v>
      </c>
      <c r="S136" s="187">
        <v>0.54234297812279464</v>
      </c>
      <c r="T136" s="176" t="s">
        <v>65</v>
      </c>
      <c r="U136" s="174">
        <v>6767</v>
      </c>
      <c r="BA136" s="173"/>
      <c r="BB136" s="173"/>
      <c r="BC136" s="173"/>
      <c r="BD136" s="173"/>
      <c r="BE136" s="173"/>
      <c r="BF136" s="173"/>
    </row>
    <row r="137" spans="1:58" x14ac:dyDescent="0.35">
      <c r="A137" s="175" t="s">
        <v>119</v>
      </c>
      <c r="B137" s="175" t="s">
        <v>125</v>
      </c>
      <c r="C137" s="175">
        <v>2287466</v>
      </c>
      <c r="D137" s="175" t="s">
        <v>121</v>
      </c>
      <c r="E137" s="175" t="s">
        <v>122</v>
      </c>
      <c r="F137" s="175" t="s">
        <v>11</v>
      </c>
      <c r="G137" s="174">
        <v>9723</v>
      </c>
      <c r="H137" s="174">
        <v>10430</v>
      </c>
      <c r="I137" s="174">
        <v>50</v>
      </c>
      <c r="J137" s="174">
        <v>63</v>
      </c>
      <c r="K137" s="188">
        <v>40</v>
      </c>
      <c r="L137" s="174">
        <v>324.60000000000002</v>
      </c>
      <c r="M137" s="174">
        <v>402.2</v>
      </c>
      <c r="N137" s="174"/>
      <c r="O137" s="174"/>
      <c r="P137" s="174">
        <v>0.22749999999999998</v>
      </c>
      <c r="Q137" s="174">
        <v>0.01</v>
      </c>
      <c r="R137" s="187">
        <v>0.22427603203943311</v>
      </c>
      <c r="S137" s="187">
        <v>7.2103431128791654E-3</v>
      </c>
      <c r="T137" s="176" t="s">
        <v>65</v>
      </c>
      <c r="U137" s="174">
        <v>16117</v>
      </c>
      <c r="BA137" s="173"/>
      <c r="BB137" s="173"/>
      <c r="BC137" s="173"/>
      <c r="BD137" s="173"/>
      <c r="BE137" s="173"/>
      <c r="BF137" s="173"/>
    </row>
    <row r="138" spans="1:58" x14ac:dyDescent="0.35">
      <c r="A138" s="175" t="s">
        <v>119</v>
      </c>
      <c r="B138" s="175" t="s">
        <v>125</v>
      </c>
      <c r="C138" s="175">
        <v>2332634</v>
      </c>
      <c r="D138" s="175" t="s">
        <v>121</v>
      </c>
      <c r="E138" s="175" t="s">
        <v>122</v>
      </c>
      <c r="F138" s="175" t="s">
        <v>11</v>
      </c>
      <c r="G138" s="174">
        <v>7334</v>
      </c>
      <c r="H138" s="174">
        <v>6550</v>
      </c>
      <c r="I138" s="174">
        <v>54</v>
      </c>
      <c r="J138" s="174">
        <v>60</v>
      </c>
      <c r="K138" s="188">
        <v>16</v>
      </c>
      <c r="L138" s="174">
        <v>191.4</v>
      </c>
      <c r="M138" s="174">
        <v>144.5</v>
      </c>
      <c r="N138" s="174"/>
      <c r="O138" s="174"/>
      <c r="P138" s="174">
        <v>0.23125000000000001</v>
      </c>
      <c r="Q138" s="174">
        <v>0.125</v>
      </c>
      <c r="R138" s="187">
        <v>0.15464994775339605</v>
      </c>
      <c r="S138" s="187">
        <v>0.10034602076124567</v>
      </c>
      <c r="T138" s="176" t="s">
        <v>65</v>
      </c>
      <c r="U138" s="174">
        <v>7387</v>
      </c>
      <c r="BA138" s="173"/>
      <c r="BB138" s="173"/>
      <c r="BC138" s="173"/>
      <c r="BD138" s="173"/>
      <c r="BE138" s="173"/>
      <c r="BF138" s="173"/>
    </row>
    <row r="139" spans="1:58" x14ac:dyDescent="0.35">
      <c r="A139" s="175" t="s">
        <v>119</v>
      </c>
      <c r="B139" s="175" t="s">
        <v>125</v>
      </c>
      <c r="C139" s="175">
        <v>2332635</v>
      </c>
      <c r="D139" s="175" t="s">
        <v>121</v>
      </c>
      <c r="E139" s="175" t="s">
        <v>122</v>
      </c>
      <c r="F139" s="175" t="s">
        <v>11</v>
      </c>
      <c r="G139" s="174">
        <v>8696</v>
      </c>
      <c r="H139" s="174">
        <v>7693</v>
      </c>
      <c r="I139" s="174">
        <v>55</v>
      </c>
      <c r="J139" s="174">
        <v>63</v>
      </c>
      <c r="K139" s="188">
        <v>24</v>
      </c>
      <c r="L139" s="174">
        <v>222.9</v>
      </c>
      <c r="M139" s="174">
        <v>215.9</v>
      </c>
      <c r="N139" s="174"/>
      <c r="O139" s="174"/>
      <c r="P139" s="174">
        <v>0.10833333333333334</v>
      </c>
      <c r="Q139" s="174">
        <v>7.4999999999999997E-2</v>
      </c>
      <c r="R139" s="187">
        <v>9.3315388066397498E-2</v>
      </c>
      <c r="S139" s="187">
        <v>6.04446503010653E-2</v>
      </c>
      <c r="T139" s="176" t="s">
        <v>65</v>
      </c>
      <c r="U139" s="174">
        <v>9304</v>
      </c>
      <c r="BA139" s="173"/>
      <c r="BB139" s="173"/>
      <c r="BC139" s="173"/>
      <c r="BD139" s="173"/>
      <c r="BE139" s="173"/>
      <c r="BF139" s="173"/>
    </row>
    <row r="140" spans="1:58" x14ac:dyDescent="0.35">
      <c r="A140" s="175" t="s">
        <v>119</v>
      </c>
      <c r="B140" s="175" t="s">
        <v>125</v>
      </c>
      <c r="C140" s="175">
        <v>2330387</v>
      </c>
      <c r="D140" s="175" t="s">
        <v>121</v>
      </c>
      <c r="E140" s="175" t="s">
        <v>122</v>
      </c>
      <c r="F140" s="175" t="s">
        <v>11</v>
      </c>
      <c r="G140" s="174">
        <v>13236</v>
      </c>
      <c r="H140" s="174">
        <v>11087</v>
      </c>
      <c r="I140" s="174">
        <v>59</v>
      </c>
      <c r="J140" s="174">
        <v>63</v>
      </c>
      <c r="K140" s="188">
        <v>40</v>
      </c>
      <c r="L140" s="174">
        <v>500.9</v>
      </c>
      <c r="M140" s="174">
        <v>369.3</v>
      </c>
      <c r="N140" s="174"/>
      <c r="O140" s="174"/>
      <c r="P140" s="174">
        <v>0.14499999999999999</v>
      </c>
      <c r="Q140" s="174">
        <v>6.25E-2</v>
      </c>
      <c r="R140" s="187">
        <v>9.2633260131762832E-2</v>
      </c>
      <c r="S140" s="187">
        <v>4.9079339290549688E-2</v>
      </c>
      <c r="T140" s="176" t="s">
        <v>65</v>
      </c>
      <c r="U140" s="174">
        <v>21330</v>
      </c>
      <c r="BA140" s="173"/>
      <c r="BB140" s="173"/>
      <c r="BC140" s="173"/>
      <c r="BD140" s="173"/>
      <c r="BE140" s="173"/>
      <c r="BF140" s="173"/>
    </row>
    <row r="141" spans="1:58" x14ac:dyDescent="0.35">
      <c r="A141" s="175" t="s">
        <v>119</v>
      </c>
      <c r="B141" s="175" t="s">
        <v>125</v>
      </c>
      <c r="C141" s="175">
        <v>2279893</v>
      </c>
      <c r="D141" s="175" t="s">
        <v>121</v>
      </c>
      <c r="E141" s="175" t="s">
        <v>122</v>
      </c>
      <c r="F141" s="175" t="s">
        <v>11</v>
      </c>
      <c r="G141" s="174">
        <v>7066</v>
      </c>
      <c r="H141" s="174">
        <v>7127</v>
      </c>
      <c r="I141" s="174">
        <v>58</v>
      </c>
      <c r="J141" s="174">
        <v>63</v>
      </c>
      <c r="K141" s="188">
        <v>22</v>
      </c>
      <c r="L141" s="174">
        <v>298.8</v>
      </c>
      <c r="M141" s="174">
        <v>227.3</v>
      </c>
      <c r="N141" s="174"/>
      <c r="O141" s="174"/>
      <c r="P141" s="174">
        <v>7.7272727272727271E-2</v>
      </c>
      <c r="Q141" s="174">
        <v>0</v>
      </c>
      <c r="R141" s="187">
        <v>4.5515394912985271E-2</v>
      </c>
      <c r="S141" s="187">
        <v>0</v>
      </c>
      <c r="T141" s="176" t="s">
        <v>65</v>
      </c>
      <c r="U141" s="174">
        <v>7559</v>
      </c>
      <c r="BA141" s="173"/>
      <c r="BB141" s="173"/>
      <c r="BC141" s="173"/>
      <c r="BD141" s="173"/>
      <c r="BE141" s="173"/>
      <c r="BF141" s="173"/>
    </row>
    <row r="142" spans="1:58" x14ac:dyDescent="0.35">
      <c r="A142" s="175" t="s">
        <v>119</v>
      </c>
      <c r="B142" s="175" t="s">
        <v>125</v>
      </c>
      <c r="C142" s="175">
        <v>2238458</v>
      </c>
      <c r="D142" s="175" t="s">
        <v>121</v>
      </c>
      <c r="E142" s="175" t="s">
        <v>122</v>
      </c>
      <c r="F142" s="175" t="s">
        <v>11</v>
      </c>
      <c r="G142" s="174">
        <v>11927</v>
      </c>
      <c r="H142" s="174">
        <v>10270</v>
      </c>
      <c r="I142" s="174">
        <v>49</v>
      </c>
      <c r="J142" s="174">
        <v>61</v>
      </c>
      <c r="K142" s="188">
        <v>40</v>
      </c>
      <c r="L142" s="174">
        <v>352.5</v>
      </c>
      <c r="M142" s="174">
        <v>391.2</v>
      </c>
      <c r="N142" s="174"/>
      <c r="O142" s="174"/>
      <c r="P142" s="174">
        <v>0.24</v>
      </c>
      <c r="Q142" s="174">
        <v>8.249999999999999E-2</v>
      </c>
      <c r="R142" s="187">
        <v>0.21787234042553191</v>
      </c>
      <c r="S142" s="187">
        <v>6.1157975460122693E-2</v>
      </c>
      <c r="T142" s="176" t="s">
        <v>65</v>
      </c>
      <c r="U142" s="174">
        <v>13996</v>
      </c>
      <c r="BA142" s="173"/>
      <c r="BB142" s="173"/>
      <c r="BC142" s="173"/>
      <c r="BD142" s="173"/>
      <c r="BE142" s="173"/>
      <c r="BF142" s="173"/>
    </row>
    <row r="143" spans="1:58" x14ac:dyDescent="0.35">
      <c r="A143" s="175" t="s">
        <v>119</v>
      </c>
      <c r="B143" s="175" t="s">
        <v>125</v>
      </c>
      <c r="C143" s="175">
        <v>2349741</v>
      </c>
      <c r="D143" s="175" t="s">
        <v>121</v>
      </c>
      <c r="E143" s="175" t="s">
        <v>122</v>
      </c>
      <c r="F143" s="175" t="s">
        <v>11</v>
      </c>
      <c r="G143" s="174">
        <v>7828</v>
      </c>
      <c r="H143" s="174">
        <v>4480</v>
      </c>
      <c r="I143" s="174">
        <v>43</v>
      </c>
      <c r="J143" s="174">
        <v>60</v>
      </c>
      <c r="K143" s="188">
        <v>6</v>
      </c>
      <c r="L143" s="174">
        <v>213.92</v>
      </c>
      <c r="M143" s="174">
        <v>120.12</v>
      </c>
      <c r="N143" s="174"/>
      <c r="O143" s="174"/>
      <c r="P143" s="174">
        <v>0.6333333333333333</v>
      </c>
      <c r="Q143" s="174">
        <v>0</v>
      </c>
      <c r="R143" s="187">
        <v>0.14210919970082272</v>
      </c>
      <c r="S143" s="187">
        <v>0</v>
      </c>
      <c r="T143" s="176" t="s">
        <v>65</v>
      </c>
      <c r="U143" s="174"/>
      <c r="BA143" s="173"/>
      <c r="BB143" s="173"/>
      <c r="BC143" s="173"/>
      <c r="BD143" s="173"/>
      <c r="BE143" s="173"/>
      <c r="BF143" s="173"/>
    </row>
    <row r="144" spans="1:58" x14ac:dyDescent="0.35">
      <c r="A144" s="175" t="s">
        <v>119</v>
      </c>
      <c r="B144" s="175" t="s">
        <v>125</v>
      </c>
      <c r="C144" s="175">
        <v>2349742</v>
      </c>
      <c r="D144" s="175" t="s">
        <v>121</v>
      </c>
      <c r="E144" s="175" t="s">
        <v>122</v>
      </c>
      <c r="F144" s="175" t="s">
        <v>11</v>
      </c>
      <c r="G144" s="174">
        <v>9888</v>
      </c>
      <c r="H144" s="174">
        <v>6154</v>
      </c>
      <c r="I144" s="174">
        <v>47</v>
      </c>
      <c r="J144" s="174">
        <v>58</v>
      </c>
      <c r="K144" s="188">
        <v>10</v>
      </c>
      <c r="L144" s="174">
        <v>319.24</v>
      </c>
      <c r="M144" s="174">
        <v>190.87</v>
      </c>
      <c r="N144" s="174"/>
      <c r="O144" s="174"/>
      <c r="P144" s="174">
        <v>0.55000000000000004</v>
      </c>
      <c r="Q144" s="174">
        <v>0</v>
      </c>
      <c r="R144" s="187">
        <v>0.13782733993233934</v>
      </c>
      <c r="S144" s="187">
        <v>0</v>
      </c>
      <c r="T144" s="176" t="s">
        <v>65</v>
      </c>
      <c r="U144" s="174"/>
      <c r="BA144" s="173"/>
      <c r="BB144" s="173"/>
      <c r="BC144" s="173"/>
      <c r="BD144" s="173"/>
      <c r="BE144" s="173"/>
      <c r="BF144" s="173"/>
    </row>
    <row r="145" spans="1:58" x14ac:dyDescent="0.35">
      <c r="A145" s="175" t="s">
        <v>119</v>
      </c>
      <c r="B145" s="175" t="s">
        <v>125</v>
      </c>
      <c r="C145" s="175">
        <v>2294238</v>
      </c>
      <c r="D145" s="175" t="s">
        <v>121</v>
      </c>
      <c r="E145" s="175" t="s">
        <v>122</v>
      </c>
      <c r="F145" s="175" t="s">
        <v>11</v>
      </c>
      <c r="G145" s="174">
        <v>7531</v>
      </c>
      <c r="H145" s="174">
        <v>4650</v>
      </c>
      <c r="I145" s="174">
        <v>42</v>
      </c>
      <c r="J145" s="174">
        <v>56</v>
      </c>
      <c r="K145" s="188">
        <v>7</v>
      </c>
      <c r="L145" s="174">
        <v>106.9</v>
      </c>
      <c r="M145" s="174">
        <v>63.3</v>
      </c>
      <c r="N145" s="174"/>
      <c r="O145" s="174"/>
      <c r="P145" s="174">
        <v>0.67142857142857149</v>
      </c>
      <c r="Q145" s="174">
        <v>0.37142857142857144</v>
      </c>
      <c r="R145" s="187">
        <v>0.35173058933582785</v>
      </c>
      <c r="S145" s="187">
        <v>0.29778830963665093</v>
      </c>
      <c r="T145" s="176" t="s">
        <v>65</v>
      </c>
      <c r="U145" s="174">
        <v>3750</v>
      </c>
      <c r="BA145" s="173"/>
      <c r="BB145" s="173"/>
      <c r="BC145" s="173"/>
      <c r="BD145" s="173"/>
      <c r="BE145" s="173"/>
      <c r="BF145" s="173"/>
    </row>
    <row r="146" spans="1:58" x14ac:dyDescent="0.35">
      <c r="A146" s="175" t="s">
        <v>119</v>
      </c>
      <c r="B146" s="175" t="s">
        <v>125</v>
      </c>
      <c r="C146" s="175">
        <v>2346566</v>
      </c>
      <c r="D146" s="175" t="s">
        <v>121</v>
      </c>
      <c r="E146" s="175" t="s">
        <v>122</v>
      </c>
      <c r="F146" s="175" t="s">
        <v>11</v>
      </c>
      <c r="G146" s="174">
        <v>4861</v>
      </c>
      <c r="H146" s="174">
        <v>4650</v>
      </c>
      <c r="I146" s="174">
        <v>50</v>
      </c>
      <c r="J146" s="174">
        <v>56</v>
      </c>
      <c r="K146" s="188">
        <v>7</v>
      </c>
      <c r="L146" s="174">
        <v>93.2</v>
      </c>
      <c r="M146" s="174">
        <v>63.23</v>
      </c>
      <c r="N146" s="174"/>
      <c r="O146" s="174"/>
      <c r="P146" s="174">
        <v>0.14285714285714285</v>
      </c>
      <c r="Q146" s="174">
        <v>0.37571428571428572</v>
      </c>
      <c r="R146" s="187">
        <v>8.5836909871244621E-2</v>
      </c>
      <c r="S146" s="187">
        <v>0.30155780483947497</v>
      </c>
      <c r="T146" s="176" t="s">
        <v>65</v>
      </c>
      <c r="U146" s="174">
        <v>3750</v>
      </c>
      <c r="BA146" s="173"/>
      <c r="BB146" s="173"/>
      <c r="BC146" s="173"/>
      <c r="BD146" s="173"/>
      <c r="BE146" s="173"/>
      <c r="BF146" s="173"/>
    </row>
    <row r="147" spans="1:58" x14ac:dyDescent="0.35">
      <c r="A147" s="175" t="s">
        <v>119</v>
      </c>
      <c r="B147" s="175" t="s">
        <v>125</v>
      </c>
      <c r="C147" s="175">
        <v>2327325</v>
      </c>
      <c r="D147" s="175" t="s">
        <v>121</v>
      </c>
      <c r="E147" s="175" t="s">
        <v>122</v>
      </c>
      <c r="F147" s="175" t="s">
        <v>11</v>
      </c>
      <c r="G147" s="174">
        <v>6748</v>
      </c>
      <c r="H147" s="174">
        <v>5387</v>
      </c>
      <c r="I147" s="174">
        <v>44</v>
      </c>
      <c r="J147" s="174">
        <v>59</v>
      </c>
      <c r="K147" s="188">
        <v>10</v>
      </c>
      <c r="L147" s="174">
        <v>157.5</v>
      </c>
      <c r="M147" s="174">
        <v>95.3</v>
      </c>
      <c r="N147" s="174"/>
      <c r="O147" s="174"/>
      <c r="P147" s="174">
        <v>0.83000000000000007</v>
      </c>
      <c r="Q147" s="174">
        <v>0</v>
      </c>
      <c r="R147" s="187">
        <v>0.42158730158730162</v>
      </c>
      <c r="S147" s="187">
        <v>0</v>
      </c>
      <c r="T147" s="176" t="s">
        <v>65</v>
      </c>
      <c r="U147" s="174">
        <v>5440</v>
      </c>
      <c r="BA147" s="173"/>
      <c r="BB147" s="173"/>
      <c r="BC147" s="173"/>
      <c r="BD147" s="173"/>
      <c r="BE147" s="173"/>
      <c r="BF147" s="173"/>
    </row>
    <row r="148" spans="1:58" x14ac:dyDescent="0.35">
      <c r="A148" s="175" t="s">
        <v>119</v>
      </c>
      <c r="B148" s="175" t="s">
        <v>125</v>
      </c>
      <c r="C148" s="175">
        <v>2327326</v>
      </c>
      <c r="D148" s="175" t="s">
        <v>121</v>
      </c>
      <c r="E148" s="175" t="s">
        <v>122</v>
      </c>
      <c r="F148" s="175" t="s">
        <v>11</v>
      </c>
      <c r="G148" s="174">
        <v>6421</v>
      </c>
      <c r="H148" s="174">
        <v>5387</v>
      </c>
      <c r="I148" s="174">
        <v>46</v>
      </c>
      <c r="J148" s="174">
        <v>59</v>
      </c>
      <c r="K148" s="188">
        <v>10</v>
      </c>
      <c r="L148" s="174">
        <v>106.9</v>
      </c>
      <c r="M148" s="174">
        <v>95.3</v>
      </c>
      <c r="N148" s="174"/>
      <c r="O148" s="174"/>
      <c r="P148" s="174">
        <v>0.6</v>
      </c>
      <c r="Q148" s="174">
        <v>0</v>
      </c>
      <c r="R148" s="187">
        <v>0.44901777362020578</v>
      </c>
      <c r="S148" s="187">
        <v>0</v>
      </c>
      <c r="T148" s="176" t="s">
        <v>65</v>
      </c>
      <c r="U148" s="174">
        <v>5440</v>
      </c>
      <c r="BA148" s="173"/>
      <c r="BB148" s="173"/>
      <c r="BC148" s="173"/>
      <c r="BD148" s="173"/>
      <c r="BE148" s="173"/>
      <c r="BF148" s="173"/>
    </row>
    <row r="149" spans="1:58" x14ac:dyDescent="0.35">
      <c r="A149" s="175" t="s">
        <v>119</v>
      </c>
      <c r="B149" s="175" t="s">
        <v>125</v>
      </c>
      <c r="C149" s="175">
        <v>2327464</v>
      </c>
      <c r="D149" s="175" t="s">
        <v>121</v>
      </c>
      <c r="E149" s="175" t="s">
        <v>122</v>
      </c>
      <c r="F149" s="175" t="s">
        <v>11</v>
      </c>
      <c r="G149" s="174">
        <v>7224</v>
      </c>
      <c r="H149" s="174">
        <v>5932</v>
      </c>
      <c r="I149" s="174">
        <v>46</v>
      </c>
      <c r="J149" s="174">
        <v>56</v>
      </c>
      <c r="K149" s="188">
        <v>14</v>
      </c>
      <c r="L149" s="174">
        <v>210.8</v>
      </c>
      <c r="M149" s="174">
        <v>135.1</v>
      </c>
      <c r="N149" s="174"/>
      <c r="O149" s="174"/>
      <c r="P149" s="174">
        <v>0.44285714285714289</v>
      </c>
      <c r="Q149" s="174">
        <v>0.27142857142857141</v>
      </c>
      <c r="R149" s="187">
        <v>0.23529411764705882</v>
      </c>
      <c r="S149" s="187">
        <v>0.20392301998519613</v>
      </c>
      <c r="T149" s="176" t="s">
        <v>65</v>
      </c>
      <c r="U149" s="174">
        <v>6538</v>
      </c>
      <c r="BA149" s="173"/>
      <c r="BB149" s="173"/>
      <c r="BC149" s="173"/>
      <c r="BD149" s="173"/>
      <c r="BE149" s="173"/>
      <c r="BF149" s="173"/>
    </row>
    <row r="150" spans="1:58" x14ac:dyDescent="0.35">
      <c r="A150" s="175" t="s">
        <v>119</v>
      </c>
      <c r="B150" s="175" t="s">
        <v>125</v>
      </c>
      <c r="C150" s="175">
        <v>2327322</v>
      </c>
      <c r="D150" s="175" t="s">
        <v>121</v>
      </c>
      <c r="E150" s="175" t="s">
        <v>122</v>
      </c>
      <c r="F150" s="175" t="s">
        <v>11</v>
      </c>
      <c r="G150" s="174">
        <v>7556</v>
      </c>
      <c r="H150" s="174">
        <v>5932</v>
      </c>
      <c r="I150" s="174">
        <v>46</v>
      </c>
      <c r="J150" s="174">
        <v>56</v>
      </c>
      <c r="K150" s="188">
        <v>14</v>
      </c>
      <c r="L150" s="174">
        <v>155.80000000000001</v>
      </c>
      <c r="M150" s="174">
        <v>135.1</v>
      </c>
      <c r="N150" s="174"/>
      <c r="O150" s="174"/>
      <c r="P150" s="174">
        <v>0.25</v>
      </c>
      <c r="Q150" s="174">
        <v>0.27142857142857141</v>
      </c>
      <c r="R150" s="187">
        <v>0.1797175866495507</v>
      </c>
      <c r="S150" s="187">
        <v>0.20392301998519613</v>
      </c>
      <c r="T150" s="176" t="s">
        <v>65</v>
      </c>
      <c r="U150" s="174">
        <v>6538</v>
      </c>
      <c r="BA150" s="173"/>
      <c r="BB150" s="173"/>
      <c r="BC150" s="173"/>
      <c r="BD150" s="173"/>
      <c r="BE150" s="173"/>
      <c r="BF150" s="173"/>
    </row>
    <row r="151" spans="1:58" x14ac:dyDescent="0.35">
      <c r="A151" s="175" t="s">
        <v>119</v>
      </c>
      <c r="B151" s="175" t="s">
        <v>125</v>
      </c>
      <c r="C151" s="175">
        <v>2327338</v>
      </c>
      <c r="D151" s="175" t="s">
        <v>121</v>
      </c>
      <c r="E151" s="175" t="s">
        <v>122</v>
      </c>
      <c r="F151" s="175" t="s">
        <v>11</v>
      </c>
      <c r="G151" s="174">
        <v>6119</v>
      </c>
      <c r="H151" s="174">
        <v>7784</v>
      </c>
      <c r="I151" s="174">
        <v>45</v>
      </c>
      <c r="J151" s="174">
        <v>60</v>
      </c>
      <c r="K151" s="188">
        <v>20</v>
      </c>
      <c r="L151" s="174">
        <v>297</v>
      </c>
      <c r="M151" s="174">
        <v>220.4</v>
      </c>
      <c r="N151" s="174"/>
      <c r="O151" s="174"/>
      <c r="P151" s="174">
        <v>0.61499999999999999</v>
      </c>
      <c r="Q151" s="174">
        <v>0.64500000000000002</v>
      </c>
      <c r="R151" s="187">
        <v>0.33131313131313128</v>
      </c>
      <c r="S151" s="187">
        <v>0.42434210526315785</v>
      </c>
      <c r="T151" s="176" t="s">
        <v>65</v>
      </c>
      <c r="U151" s="174">
        <v>10516</v>
      </c>
      <c r="BA151" s="173"/>
      <c r="BB151" s="173"/>
      <c r="BC151" s="173"/>
      <c r="BD151" s="173"/>
      <c r="BE151" s="173"/>
      <c r="BF151" s="173"/>
    </row>
    <row r="152" spans="1:58" x14ac:dyDescent="0.35">
      <c r="A152" s="175" t="s">
        <v>119</v>
      </c>
      <c r="B152" s="175" t="s">
        <v>125</v>
      </c>
      <c r="C152" s="175">
        <v>2327339</v>
      </c>
      <c r="D152" s="175" t="s">
        <v>121</v>
      </c>
      <c r="E152" s="175" t="s">
        <v>122</v>
      </c>
      <c r="F152" s="175" t="s">
        <v>11</v>
      </c>
      <c r="G152" s="174">
        <v>7833</v>
      </c>
      <c r="H152" s="174">
        <v>7784</v>
      </c>
      <c r="I152" s="174">
        <v>54</v>
      </c>
      <c r="J152" s="174">
        <v>60</v>
      </c>
      <c r="K152" s="188">
        <v>20</v>
      </c>
      <c r="L152" s="174">
        <v>285.3</v>
      </c>
      <c r="M152" s="174">
        <v>220.4</v>
      </c>
      <c r="N152" s="174"/>
      <c r="O152" s="174"/>
      <c r="P152" s="174">
        <v>0.41500000000000004</v>
      </c>
      <c r="Q152" s="174">
        <v>0.64500000000000002</v>
      </c>
      <c r="R152" s="187">
        <v>0.23273746933052927</v>
      </c>
      <c r="S152" s="187">
        <v>0.42434210526315785</v>
      </c>
      <c r="T152" s="176" t="s">
        <v>65</v>
      </c>
      <c r="U152" s="174">
        <v>10516</v>
      </c>
      <c r="BA152" s="173"/>
      <c r="BB152" s="173"/>
      <c r="BC152" s="173"/>
      <c r="BD152" s="173"/>
      <c r="BE152" s="173"/>
      <c r="BF152" s="173"/>
    </row>
    <row r="153" spans="1:58" x14ac:dyDescent="0.35">
      <c r="A153" s="175" t="s">
        <v>119</v>
      </c>
      <c r="B153" s="175" t="s">
        <v>125</v>
      </c>
      <c r="C153" s="175">
        <v>2328700</v>
      </c>
      <c r="D153" s="175" t="s">
        <v>121</v>
      </c>
      <c r="E153" s="175" t="s">
        <v>122</v>
      </c>
      <c r="F153" s="175" t="s">
        <v>11</v>
      </c>
      <c r="G153" s="174">
        <v>8683</v>
      </c>
      <c r="H153" s="174">
        <v>10921</v>
      </c>
      <c r="I153" s="174">
        <v>55</v>
      </c>
      <c r="J153" s="174">
        <v>61</v>
      </c>
      <c r="K153" s="188">
        <v>40</v>
      </c>
      <c r="L153" s="174">
        <v>526</v>
      </c>
      <c r="M153" s="174">
        <v>402.5</v>
      </c>
      <c r="N153" s="174"/>
      <c r="O153" s="174"/>
      <c r="P153" s="174">
        <v>0.3075</v>
      </c>
      <c r="Q153" s="174">
        <v>0.33500000000000002</v>
      </c>
      <c r="R153" s="187">
        <v>0.18707224334600758</v>
      </c>
      <c r="S153" s="187">
        <v>0.24136645962732922</v>
      </c>
      <c r="T153" s="176" t="s">
        <v>65</v>
      </c>
      <c r="U153" s="174">
        <v>13709</v>
      </c>
      <c r="BA153" s="173"/>
      <c r="BB153" s="173"/>
      <c r="BC153" s="173"/>
      <c r="BD153" s="173"/>
      <c r="BE153" s="173"/>
      <c r="BF153" s="173"/>
    </row>
    <row r="154" spans="1:58" x14ac:dyDescent="0.35">
      <c r="A154" s="175" t="s">
        <v>119</v>
      </c>
      <c r="B154" s="175" t="s">
        <v>125</v>
      </c>
      <c r="C154" s="175">
        <v>2328732</v>
      </c>
      <c r="D154" s="175" t="s">
        <v>121</v>
      </c>
      <c r="E154" s="175" t="s">
        <v>122</v>
      </c>
      <c r="F154" s="175" t="s">
        <v>11</v>
      </c>
      <c r="G154" s="174">
        <v>11729</v>
      </c>
      <c r="H154" s="174">
        <v>10921</v>
      </c>
      <c r="I154" s="174">
        <v>57</v>
      </c>
      <c r="J154" s="174">
        <v>61</v>
      </c>
      <c r="K154" s="188">
        <v>40</v>
      </c>
      <c r="L154" s="174">
        <v>421</v>
      </c>
      <c r="M154" s="174">
        <v>402.5</v>
      </c>
      <c r="N154" s="174"/>
      <c r="O154" s="174"/>
      <c r="P154" s="174">
        <v>7.7499999999999999E-2</v>
      </c>
      <c r="Q154" s="174">
        <v>0.33500000000000002</v>
      </c>
      <c r="R154" s="187">
        <v>5.8907363420427551E-2</v>
      </c>
      <c r="S154" s="187">
        <v>0.24136645962732922</v>
      </c>
      <c r="T154" s="176" t="s">
        <v>65</v>
      </c>
      <c r="U154" s="174">
        <v>13709</v>
      </c>
      <c r="BA154" s="173"/>
      <c r="BB154" s="173"/>
      <c r="BC154" s="173"/>
      <c r="BD154" s="173"/>
      <c r="BE154" s="173"/>
      <c r="BF154" s="173"/>
    </row>
    <row r="155" spans="1:58" x14ac:dyDescent="0.35">
      <c r="A155" s="175" t="s">
        <v>119</v>
      </c>
      <c r="B155" s="175" t="s">
        <v>125</v>
      </c>
      <c r="C155" s="175">
        <v>2362226</v>
      </c>
      <c r="D155" s="175" t="s">
        <v>121</v>
      </c>
      <c r="E155" s="175" t="s">
        <v>123</v>
      </c>
      <c r="F155" s="175" t="s">
        <v>11</v>
      </c>
      <c r="G155" s="174">
        <v>9023</v>
      </c>
      <c r="H155" s="174">
        <v>6439</v>
      </c>
      <c r="I155" s="174">
        <v>41</v>
      </c>
      <c r="J155" s="174">
        <v>61</v>
      </c>
      <c r="K155" s="188">
        <v>20</v>
      </c>
      <c r="L155" s="174">
        <v>584.70000000000005</v>
      </c>
      <c r="M155" s="174">
        <v>324.10000000000002</v>
      </c>
      <c r="N155" s="174"/>
      <c r="O155" s="174"/>
      <c r="P155" s="174">
        <v>1.7250000000000001</v>
      </c>
      <c r="Q155" s="174">
        <v>0</v>
      </c>
      <c r="R155" s="187">
        <v>0.47203694202154955</v>
      </c>
      <c r="S155" s="187">
        <v>0</v>
      </c>
      <c r="T155" s="182" t="s">
        <v>66</v>
      </c>
      <c r="U155" s="174"/>
      <c r="BA155" s="173"/>
      <c r="BB155" s="173"/>
      <c r="BC155" s="173"/>
      <c r="BD155" s="173"/>
      <c r="BE155" s="173"/>
      <c r="BF155" s="173"/>
    </row>
    <row r="156" spans="1:58" x14ac:dyDescent="0.35">
      <c r="A156" s="175" t="s">
        <v>119</v>
      </c>
      <c r="B156" s="175" t="s">
        <v>125</v>
      </c>
      <c r="C156" s="175">
        <v>2362227</v>
      </c>
      <c r="D156" s="175" t="s">
        <v>121</v>
      </c>
      <c r="E156" s="175" t="s">
        <v>123</v>
      </c>
      <c r="F156" s="175" t="s">
        <v>11</v>
      </c>
      <c r="G156" s="174">
        <v>8546</v>
      </c>
      <c r="H156" s="174">
        <v>5803</v>
      </c>
      <c r="I156" s="174">
        <v>43</v>
      </c>
      <c r="J156" s="174">
        <v>60</v>
      </c>
      <c r="K156" s="188">
        <v>20</v>
      </c>
      <c r="L156" s="174">
        <v>603</v>
      </c>
      <c r="M156" s="174">
        <v>332.7</v>
      </c>
      <c r="N156" s="174"/>
      <c r="O156" s="174"/>
      <c r="P156" s="174">
        <v>1.6850000000000001</v>
      </c>
      <c r="Q156" s="174">
        <v>0</v>
      </c>
      <c r="R156" s="187">
        <v>0.44709784411276954</v>
      </c>
      <c r="S156" s="187">
        <v>0</v>
      </c>
      <c r="T156" s="182" t="s">
        <v>66</v>
      </c>
      <c r="U156" s="174"/>
      <c r="BA156" s="173"/>
      <c r="BB156" s="173"/>
      <c r="BC156" s="173"/>
      <c r="BD156" s="173"/>
      <c r="BE156" s="173"/>
      <c r="BF156" s="173"/>
    </row>
    <row r="157" spans="1:58" x14ac:dyDescent="0.35">
      <c r="A157" s="175" t="s">
        <v>119</v>
      </c>
      <c r="B157" s="175" t="s">
        <v>125</v>
      </c>
      <c r="C157" s="175">
        <v>2359760</v>
      </c>
      <c r="D157" s="175" t="s">
        <v>121</v>
      </c>
      <c r="E157" s="175" t="s">
        <v>123</v>
      </c>
      <c r="F157" s="175" t="s">
        <v>11</v>
      </c>
      <c r="G157" s="174">
        <v>9656</v>
      </c>
      <c r="H157" s="174">
        <v>9754</v>
      </c>
      <c r="I157" s="174">
        <v>44</v>
      </c>
      <c r="J157" s="174">
        <v>57</v>
      </c>
      <c r="K157" s="188">
        <v>20</v>
      </c>
      <c r="L157" s="174">
        <v>642.4</v>
      </c>
      <c r="M157" s="174">
        <v>351.3</v>
      </c>
      <c r="N157" s="174"/>
      <c r="O157" s="174"/>
      <c r="P157" s="174">
        <v>1.0449999999999999</v>
      </c>
      <c r="Q157" s="174">
        <v>0</v>
      </c>
      <c r="R157" s="187">
        <v>0.26027397260273971</v>
      </c>
      <c r="S157" s="187">
        <v>0</v>
      </c>
      <c r="T157" s="182" t="s">
        <v>66</v>
      </c>
      <c r="U157" s="174"/>
      <c r="BA157" s="173"/>
      <c r="BB157" s="173"/>
      <c r="BC157" s="173"/>
      <c r="BD157" s="173"/>
      <c r="BE157" s="173"/>
      <c r="BF157" s="173"/>
    </row>
    <row r="158" spans="1:58" x14ac:dyDescent="0.35">
      <c r="A158" s="175" t="s">
        <v>119</v>
      </c>
      <c r="B158" s="175" t="s">
        <v>125</v>
      </c>
      <c r="C158" s="175">
        <v>2277279</v>
      </c>
      <c r="D158" s="175" t="s">
        <v>121</v>
      </c>
      <c r="E158" s="175" t="s">
        <v>122</v>
      </c>
      <c r="F158" s="175" t="s">
        <v>11</v>
      </c>
      <c r="G158" s="174">
        <v>8361</v>
      </c>
      <c r="H158" s="174">
        <v>9379</v>
      </c>
      <c r="I158" s="174">
        <v>49</v>
      </c>
      <c r="J158" s="174">
        <v>59</v>
      </c>
      <c r="K158" s="188">
        <v>32</v>
      </c>
      <c r="L158" s="174">
        <v>400.2</v>
      </c>
      <c r="M158" s="174">
        <v>291.72000000000003</v>
      </c>
      <c r="N158" s="174"/>
      <c r="O158" s="174"/>
      <c r="P158" s="174">
        <v>0.27906249999999999</v>
      </c>
      <c r="Q158" s="174">
        <v>0</v>
      </c>
      <c r="R158" s="187">
        <v>0.17851074462768615</v>
      </c>
      <c r="S158" s="187">
        <v>0</v>
      </c>
      <c r="T158" s="176" t="s">
        <v>65</v>
      </c>
      <c r="U158" s="174"/>
      <c r="BA158" s="173"/>
      <c r="BB158" s="173"/>
      <c r="BC158" s="173"/>
      <c r="BD158" s="173"/>
      <c r="BE158" s="173"/>
      <c r="BF158" s="173"/>
    </row>
    <row r="159" spans="1:58" x14ac:dyDescent="0.35">
      <c r="A159" s="175" t="s">
        <v>119</v>
      </c>
      <c r="B159" s="175" t="s">
        <v>125</v>
      </c>
      <c r="C159" s="194" t="s">
        <v>124</v>
      </c>
      <c r="D159" s="175" t="s">
        <v>121</v>
      </c>
      <c r="E159" s="175"/>
      <c r="F159" s="175" t="s">
        <v>11</v>
      </c>
      <c r="G159" s="174">
        <v>45000</v>
      </c>
      <c r="H159" s="174">
        <v>15000</v>
      </c>
      <c r="I159" s="174">
        <v>20</v>
      </c>
      <c r="J159" s="174">
        <v>35</v>
      </c>
      <c r="K159" s="188">
        <v>10</v>
      </c>
      <c r="L159" s="174">
        <v>100</v>
      </c>
      <c r="M159" s="174">
        <v>80</v>
      </c>
      <c r="N159" s="174"/>
      <c r="O159" s="174"/>
      <c r="P159" s="174">
        <v>4.2</v>
      </c>
      <c r="Q159" s="174"/>
      <c r="R159" s="187">
        <v>3.3600000000000003</v>
      </c>
      <c r="S159" s="187">
        <v>0</v>
      </c>
      <c r="T159" s="176" t="s">
        <v>65</v>
      </c>
      <c r="U159" s="174">
        <v>18000</v>
      </c>
      <c r="BA159" s="173"/>
      <c r="BB159" s="173"/>
      <c r="BC159" s="173"/>
      <c r="BD159" s="173"/>
      <c r="BE159" s="173"/>
      <c r="BF159" s="173"/>
    </row>
    <row r="160" spans="1:58" x14ac:dyDescent="0.35">
      <c r="A160" s="175" t="s">
        <v>119</v>
      </c>
      <c r="B160" s="175" t="s">
        <v>125</v>
      </c>
      <c r="C160" s="194" t="s">
        <v>124</v>
      </c>
      <c r="D160" s="175" t="s">
        <v>121</v>
      </c>
      <c r="E160" s="175"/>
      <c r="F160" s="175" t="s">
        <v>11</v>
      </c>
      <c r="G160" s="174">
        <v>45000</v>
      </c>
      <c r="H160" s="174">
        <v>15000</v>
      </c>
      <c r="I160" s="174">
        <v>20</v>
      </c>
      <c r="J160" s="174">
        <v>35</v>
      </c>
      <c r="K160" s="188">
        <v>10</v>
      </c>
      <c r="L160" s="174">
        <v>100</v>
      </c>
      <c r="M160" s="174">
        <v>80</v>
      </c>
      <c r="N160" s="174"/>
      <c r="O160" s="174"/>
      <c r="P160" s="174">
        <v>4.2</v>
      </c>
      <c r="Q160" s="174"/>
      <c r="R160" s="187">
        <v>3.3600000000000003</v>
      </c>
      <c r="S160" s="187">
        <v>0</v>
      </c>
      <c r="T160" s="176" t="s">
        <v>65</v>
      </c>
      <c r="U160" s="174">
        <v>18000</v>
      </c>
      <c r="BA160" s="173"/>
      <c r="BB160" s="173"/>
      <c r="BC160" s="173"/>
      <c r="BD160" s="173"/>
      <c r="BE160" s="173"/>
      <c r="BF160" s="173"/>
    </row>
    <row r="161" spans="1:58" x14ac:dyDescent="0.35">
      <c r="A161" s="175" t="s">
        <v>119</v>
      </c>
      <c r="B161" s="175" t="s">
        <v>125</v>
      </c>
      <c r="C161" s="194" t="s">
        <v>124</v>
      </c>
      <c r="D161" s="175" t="s">
        <v>121</v>
      </c>
      <c r="E161" s="175"/>
      <c r="F161" s="175" t="s">
        <v>11</v>
      </c>
      <c r="G161" s="174">
        <v>45000</v>
      </c>
      <c r="H161" s="174">
        <v>15000</v>
      </c>
      <c r="I161" s="174">
        <v>20</v>
      </c>
      <c r="J161" s="174">
        <v>35</v>
      </c>
      <c r="K161" s="188">
        <v>10</v>
      </c>
      <c r="L161" s="174">
        <v>100</v>
      </c>
      <c r="M161" s="174">
        <v>80</v>
      </c>
      <c r="N161" s="174"/>
      <c r="O161" s="174"/>
      <c r="P161" s="174">
        <v>4.2</v>
      </c>
      <c r="Q161" s="174"/>
      <c r="R161" s="187">
        <v>3.3600000000000003</v>
      </c>
      <c r="S161" s="187">
        <v>0</v>
      </c>
      <c r="T161" s="176" t="s">
        <v>65</v>
      </c>
      <c r="U161" s="174">
        <v>18000</v>
      </c>
      <c r="BA161" s="173"/>
      <c r="BB161" s="173"/>
      <c r="BC161" s="173"/>
      <c r="BD161" s="173"/>
      <c r="BE161" s="173"/>
      <c r="BF161" s="173"/>
    </row>
    <row r="162" spans="1:58" x14ac:dyDescent="0.35">
      <c r="A162" s="175" t="s">
        <v>119</v>
      </c>
      <c r="B162" s="175" t="s">
        <v>125</v>
      </c>
      <c r="C162" s="194" t="s">
        <v>124</v>
      </c>
      <c r="D162" s="175" t="s">
        <v>121</v>
      </c>
      <c r="E162" s="175"/>
      <c r="F162" s="175" t="s">
        <v>11</v>
      </c>
      <c r="G162" s="174">
        <v>45000</v>
      </c>
      <c r="H162" s="174">
        <v>15000</v>
      </c>
      <c r="I162" s="174">
        <v>20</v>
      </c>
      <c r="J162" s="174">
        <v>35</v>
      </c>
      <c r="K162" s="188">
        <v>10</v>
      </c>
      <c r="L162" s="174">
        <v>100</v>
      </c>
      <c r="M162" s="174">
        <v>80</v>
      </c>
      <c r="N162" s="174"/>
      <c r="O162" s="174"/>
      <c r="P162" s="174">
        <v>4.2</v>
      </c>
      <c r="Q162" s="174"/>
      <c r="R162" s="187">
        <v>3.3600000000000003</v>
      </c>
      <c r="S162" s="187">
        <v>0</v>
      </c>
      <c r="T162" s="176" t="s">
        <v>65</v>
      </c>
      <c r="U162" s="174">
        <v>18000</v>
      </c>
      <c r="BA162" s="173"/>
      <c r="BB162" s="173"/>
      <c r="BC162" s="173"/>
      <c r="BD162" s="173"/>
      <c r="BE162" s="173"/>
      <c r="BF162" s="173"/>
    </row>
    <row r="163" spans="1:58" x14ac:dyDescent="0.35">
      <c r="A163" s="175" t="s">
        <v>119</v>
      </c>
      <c r="B163" s="175" t="s">
        <v>125</v>
      </c>
      <c r="C163" s="194" t="s">
        <v>124</v>
      </c>
      <c r="D163" s="175" t="s">
        <v>121</v>
      </c>
      <c r="E163" s="175"/>
      <c r="F163" s="175" t="s">
        <v>11</v>
      </c>
      <c r="G163" s="174">
        <v>45000</v>
      </c>
      <c r="H163" s="174">
        <v>15000</v>
      </c>
      <c r="I163" s="174">
        <v>20</v>
      </c>
      <c r="J163" s="174">
        <v>35</v>
      </c>
      <c r="K163" s="188">
        <v>10</v>
      </c>
      <c r="L163" s="174">
        <v>100</v>
      </c>
      <c r="M163" s="174">
        <v>80</v>
      </c>
      <c r="N163" s="174"/>
      <c r="O163" s="174"/>
      <c r="P163" s="174">
        <v>4.2</v>
      </c>
      <c r="Q163" s="174"/>
      <c r="R163" s="187">
        <v>3.3600000000000003</v>
      </c>
      <c r="S163" s="187">
        <v>0</v>
      </c>
      <c r="T163" s="176" t="s">
        <v>65</v>
      </c>
      <c r="U163" s="174">
        <v>18000</v>
      </c>
      <c r="BA163" s="173"/>
      <c r="BB163" s="173"/>
      <c r="BC163" s="173"/>
      <c r="BD163" s="173"/>
      <c r="BE163" s="173"/>
      <c r="BF163" s="173"/>
    </row>
    <row r="164" spans="1:58" x14ac:dyDescent="0.35">
      <c r="A164" s="175" t="s">
        <v>119</v>
      </c>
      <c r="B164" s="175" t="s">
        <v>125</v>
      </c>
      <c r="C164" s="194" t="s">
        <v>124</v>
      </c>
      <c r="D164" s="175" t="s">
        <v>121</v>
      </c>
      <c r="E164" s="175"/>
      <c r="F164" s="175" t="s">
        <v>11</v>
      </c>
      <c r="G164" s="174">
        <v>45000</v>
      </c>
      <c r="H164" s="174">
        <v>15000</v>
      </c>
      <c r="I164" s="174">
        <v>20</v>
      </c>
      <c r="J164" s="174">
        <v>35</v>
      </c>
      <c r="K164" s="188">
        <v>10</v>
      </c>
      <c r="L164" s="174">
        <v>100</v>
      </c>
      <c r="M164" s="174">
        <v>80</v>
      </c>
      <c r="N164" s="174"/>
      <c r="O164" s="174"/>
      <c r="P164" s="174">
        <v>4.2</v>
      </c>
      <c r="Q164" s="174"/>
      <c r="R164" s="187">
        <v>3.3600000000000003</v>
      </c>
      <c r="S164" s="187">
        <v>0</v>
      </c>
      <c r="T164" s="176" t="s">
        <v>65</v>
      </c>
      <c r="U164" s="174">
        <v>18000</v>
      </c>
      <c r="BA164" s="173"/>
      <c r="BB164" s="173"/>
      <c r="BC164" s="173"/>
      <c r="BD164" s="173"/>
      <c r="BE164" s="173"/>
      <c r="BF164" s="173"/>
    </row>
    <row r="165" spans="1:58" x14ac:dyDescent="0.35">
      <c r="A165" s="175" t="s">
        <v>119</v>
      </c>
      <c r="B165" s="175" t="s">
        <v>125</v>
      </c>
      <c r="C165" s="194" t="s">
        <v>124</v>
      </c>
      <c r="D165" s="175" t="s">
        <v>121</v>
      </c>
      <c r="E165" s="175"/>
      <c r="F165" s="175" t="s">
        <v>11</v>
      </c>
      <c r="G165" s="174">
        <v>45000</v>
      </c>
      <c r="H165" s="174">
        <v>15000</v>
      </c>
      <c r="I165" s="174">
        <v>20</v>
      </c>
      <c r="J165" s="174">
        <v>35</v>
      </c>
      <c r="K165" s="188">
        <v>10</v>
      </c>
      <c r="L165" s="174">
        <v>100</v>
      </c>
      <c r="M165" s="174">
        <v>80</v>
      </c>
      <c r="N165" s="174"/>
      <c r="O165" s="174"/>
      <c r="P165" s="174">
        <v>4.2</v>
      </c>
      <c r="Q165" s="174"/>
      <c r="R165" s="187">
        <v>3.3600000000000003</v>
      </c>
      <c r="S165" s="187">
        <v>0</v>
      </c>
      <c r="T165" s="176" t="s">
        <v>65</v>
      </c>
      <c r="U165" s="174">
        <v>18000</v>
      </c>
      <c r="BA165" s="173"/>
      <c r="BB165" s="173"/>
      <c r="BC165" s="173"/>
      <c r="BD165" s="173"/>
      <c r="BE165" s="173"/>
      <c r="BF165" s="173"/>
    </row>
    <row r="166" spans="1:58" x14ac:dyDescent="0.35">
      <c r="A166" s="175" t="s">
        <v>119</v>
      </c>
      <c r="B166" s="175" t="s">
        <v>125</v>
      </c>
      <c r="C166" s="194" t="s">
        <v>124</v>
      </c>
      <c r="D166" s="175" t="s">
        <v>121</v>
      </c>
      <c r="E166" s="175"/>
      <c r="F166" s="175" t="s">
        <v>11</v>
      </c>
      <c r="G166" s="174">
        <v>45000</v>
      </c>
      <c r="H166" s="174">
        <v>15000</v>
      </c>
      <c r="I166" s="174">
        <v>20</v>
      </c>
      <c r="J166" s="174">
        <v>35</v>
      </c>
      <c r="K166" s="188">
        <v>10</v>
      </c>
      <c r="L166" s="174">
        <v>100</v>
      </c>
      <c r="M166" s="174">
        <v>80</v>
      </c>
      <c r="N166" s="174"/>
      <c r="O166" s="174"/>
      <c r="P166" s="174">
        <v>4.2</v>
      </c>
      <c r="Q166" s="174"/>
      <c r="R166" s="187">
        <v>3.3600000000000003</v>
      </c>
      <c r="S166" s="187">
        <v>0</v>
      </c>
      <c r="T166" s="176" t="s">
        <v>65</v>
      </c>
      <c r="U166" s="174">
        <v>18000</v>
      </c>
      <c r="BA166" s="173"/>
      <c r="BB166" s="173"/>
      <c r="BC166" s="173"/>
      <c r="BD166" s="173"/>
      <c r="BE166" s="173"/>
      <c r="BF166" s="173"/>
    </row>
    <row r="167" spans="1:58" x14ac:dyDescent="0.35">
      <c r="A167" s="175" t="s">
        <v>119</v>
      </c>
      <c r="B167" s="175" t="s">
        <v>125</v>
      </c>
      <c r="C167" s="194" t="s">
        <v>124</v>
      </c>
      <c r="D167" s="175" t="s">
        <v>121</v>
      </c>
      <c r="E167" s="175"/>
      <c r="F167" s="175" t="s">
        <v>11</v>
      </c>
      <c r="G167" s="174">
        <v>45000</v>
      </c>
      <c r="H167" s="174">
        <v>15000</v>
      </c>
      <c r="I167" s="174">
        <v>20</v>
      </c>
      <c r="J167" s="174">
        <v>35</v>
      </c>
      <c r="K167" s="188">
        <v>10</v>
      </c>
      <c r="L167" s="174">
        <v>100</v>
      </c>
      <c r="M167" s="174">
        <v>80</v>
      </c>
      <c r="N167" s="174"/>
      <c r="O167" s="174"/>
      <c r="P167" s="174">
        <v>4.2</v>
      </c>
      <c r="Q167" s="174"/>
      <c r="R167" s="187">
        <v>3.3600000000000003</v>
      </c>
      <c r="S167" s="187">
        <v>0</v>
      </c>
      <c r="T167" s="176" t="s">
        <v>65</v>
      </c>
      <c r="U167" s="174">
        <v>18000</v>
      </c>
      <c r="BA167" s="173"/>
      <c r="BB167" s="173"/>
      <c r="BC167" s="173"/>
      <c r="BD167" s="173"/>
      <c r="BE167" s="173"/>
      <c r="BF167" s="173"/>
    </row>
    <row r="168" spans="1:58" x14ac:dyDescent="0.35">
      <c r="A168" s="175" t="s">
        <v>119</v>
      </c>
      <c r="B168" s="175" t="s">
        <v>125</v>
      </c>
      <c r="C168" s="194" t="s">
        <v>124</v>
      </c>
      <c r="D168" s="175" t="s">
        <v>121</v>
      </c>
      <c r="E168" s="175"/>
      <c r="F168" s="175" t="s">
        <v>11</v>
      </c>
      <c r="G168" s="174">
        <v>45000</v>
      </c>
      <c r="H168" s="174">
        <v>15000</v>
      </c>
      <c r="I168" s="174">
        <v>20</v>
      </c>
      <c r="J168" s="174">
        <v>35</v>
      </c>
      <c r="K168" s="188">
        <v>10</v>
      </c>
      <c r="L168" s="174">
        <v>100</v>
      </c>
      <c r="M168" s="174">
        <v>80</v>
      </c>
      <c r="N168" s="174"/>
      <c r="O168" s="174"/>
      <c r="P168" s="174">
        <v>4.2</v>
      </c>
      <c r="Q168" s="174"/>
      <c r="R168" s="187">
        <v>3.3600000000000003</v>
      </c>
      <c r="S168" s="187">
        <v>0</v>
      </c>
      <c r="T168" s="176" t="s">
        <v>65</v>
      </c>
      <c r="U168" s="174">
        <v>18000</v>
      </c>
      <c r="BA168" s="173"/>
      <c r="BB168" s="173"/>
      <c r="BC168" s="173"/>
      <c r="BD168" s="173"/>
      <c r="BE168" s="173"/>
      <c r="BF168" s="173"/>
    </row>
    <row r="169" spans="1:58" x14ac:dyDescent="0.35">
      <c r="A169" s="175" t="s">
        <v>119</v>
      </c>
      <c r="B169" s="175" t="s">
        <v>125</v>
      </c>
      <c r="C169" s="194" t="s">
        <v>124</v>
      </c>
      <c r="D169" s="175" t="s">
        <v>121</v>
      </c>
      <c r="E169" s="175"/>
      <c r="F169" s="175" t="s">
        <v>11</v>
      </c>
      <c r="G169" s="174">
        <v>45000</v>
      </c>
      <c r="H169" s="174">
        <v>15000</v>
      </c>
      <c r="I169" s="174">
        <v>20</v>
      </c>
      <c r="J169" s="174">
        <v>35</v>
      </c>
      <c r="K169" s="188">
        <v>10</v>
      </c>
      <c r="L169" s="174">
        <v>100</v>
      </c>
      <c r="M169" s="174">
        <v>80</v>
      </c>
      <c r="N169" s="174"/>
      <c r="O169" s="174"/>
      <c r="P169" s="174">
        <v>4.2</v>
      </c>
      <c r="Q169" s="174"/>
      <c r="R169" s="187">
        <v>3.3600000000000003</v>
      </c>
      <c r="S169" s="187">
        <v>0</v>
      </c>
      <c r="T169" s="176" t="s">
        <v>65</v>
      </c>
      <c r="U169" s="174">
        <v>18000</v>
      </c>
      <c r="BA169" s="173"/>
      <c r="BB169" s="173"/>
      <c r="BC169" s="173"/>
      <c r="BD169" s="173"/>
      <c r="BE169" s="173"/>
      <c r="BF169" s="173"/>
    </row>
    <row r="170" spans="1:58" x14ac:dyDescent="0.35">
      <c r="A170" s="175" t="s">
        <v>119</v>
      </c>
      <c r="B170" s="175" t="s">
        <v>125</v>
      </c>
      <c r="C170" s="194" t="s">
        <v>124</v>
      </c>
      <c r="D170" s="175" t="s">
        <v>121</v>
      </c>
      <c r="E170" s="175"/>
      <c r="F170" s="175" t="s">
        <v>11</v>
      </c>
      <c r="G170" s="174">
        <v>45000</v>
      </c>
      <c r="H170" s="174">
        <v>15000</v>
      </c>
      <c r="I170" s="174">
        <v>20</v>
      </c>
      <c r="J170" s="174">
        <v>35</v>
      </c>
      <c r="K170" s="188">
        <v>10</v>
      </c>
      <c r="L170" s="174">
        <v>100</v>
      </c>
      <c r="M170" s="174">
        <v>80</v>
      </c>
      <c r="N170" s="174"/>
      <c r="O170" s="174"/>
      <c r="P170" s="174">
        <v>4.2</v>
      </c>
      <c r="Q170" s="174"/>
      <c r="R170" s="187">
        <v>3.3600000000000003</v>
      </c>
      <c r="S170" s="187">
        <v>0</v>
      </c>
      <c r="T170" s="176" t="s">
        <v>65</v>
      </c>
      <c r="U170" s="174">
        <v>18000</v>
      </c>
      <c r="BA170" s="173"/>
      <c r="BB170" s="173"/>
      <c r="BC170" s="173"/>
      <c r="BD170" s="173"/>
      <c r="BE170" s="173"/>
      <c r="BF170" s="173"/>
    </row>
    <row r="171" spans="1:58" x14ac:dyDescent="0.35">
      <c r="A171" s="175" t="s">
        <v>119</v>
      </c>
      <c r="B171" s="175" t="s">
        <v>125</v>
      </c>
      <c r="C171" s="194" t="s">
        <v>124</v>
      </c>
      <c r="D171" s="175" t="s">
        <v>121</v>
      </c>
      <c r="E171" s="175"/>
      <c r="F171" s="175" t="s">
        <v>11</v>
      </c>
      <c r="G171" s="174">
        <v>45000</v>
      </c>
      <c r="H171" s="174">
        <v>15000</v>
      </c>
      <c r="I171" s="174">
        <v>20</v>
      </c>
      <c r="J171" s="174">
        <v>35</v>
      </c>
      <c r="K171" s="188">
        <v>10</v>
      </c>
      <c r="L171" s="174">
        <v>100</v>
      </c>
      <c r="M171" s="174">
        <v>80</v>
      </c>
      <c r="N171" s="174"/>
      <c r="O171" s="174"/>
      <c r="P171" s="174">
        <v>4.2</v>
      </c>
      <c r="Q171" s="174"/>
      <c r="R171" s="187">
        <v>3.3600000000000003</v>
      </c>
      <c r="S171" s="187">
        <v>0</v>
      </c>
      <c r="T171" s="176" t="s">
        <v>65</v>
      </c>
      <c r="U171" s="174">
        <v>18000</v>
      </c>
      <c r="BA171" s="173"/>
      <c r="BB171" s="173"/>
      <c r="BC171" s="173"/>
      <c r="BD171" s="173"/>
      <c r="BE171" s="173"/>
      <c r="BF171" s="173"/>
    </row>
    <row r="172" spans="1:58" x14ac:dyDescent="0.35">
      <c r="A172" s="175" t="s">
        <v>119</v>
      </c>
      <c r="B172" s="175" t="s">
        <v>125</v>
      </c>
      <c r="C172" s="194" t="s">
        <v>124</v>
      </c>
      <c r="D172" s="175" t="s">
        <v>121</v>
      </c>
      <c r="E172" s="175"/>
      <c r="F172" s="175" t="s">
        <v>11</v>
      </c>
      <c r="G172" s="174">
        <v>45000</v>
      </c>
      <c r="H172" s="174">
        <v>15000</v>
      </c>
      <c r="I172" s="174">
        <v>20</v>
      </c>
      <c r="J172" s="174">
        <v>35</v>
      </c>
      <c r="K172" s="188">
        <v>10</v>
      </c>
      <c r="L172" s="174">
        <v>100</v>
      </c>
      <c r="M172" s="174">
        <v>80</v>
      </c>
      <c r="N172" s="174"/>
      <c r="O172" s="174"/>
      <c r="P172" s="174">
        <v>4.2</v>
      </c>
      <c r="Q172" s="174"/>
      <c r="R172" s="187">
        <v>3.3600000000000003</v>
      </c>
      <c r="S172" s="187">
        <v>0</v>
      </c>
      <c r="T172" s="176" t="s">
        <v>65</v>
      </c>
      <c r="U172" s="174">
        <v>18000</v>
      </c>
      <c r="BA172" s="173"/>
      <c r="BB172" s="173"/>
      <c r="BC172" s="173"/>
      <c r="BD172" s="173"/>
      <c r="BE172" s="173"/>
      <c r="BF172" s="173"/>
    </row>
    <row r="173" spans="1:58" x14ac:dyDescent="0.35">
      <c r="A173" s="175" t="s">
        <v>119</v>
      </c>
      <c r="B173" s="175" t="s">
        <v>125</v>
      </c>
      <c r="C173" s="194" t="s">
        <v>124</v>
      </c>
      <c r="D173" s="175" t="s">
        <v>121</v>
      </c>
      <c r="E173" s="175"/>
      <c r="F173" s="175" t="s">
        <v>11</v>
      </c>
      <c r="G173" s="174">
        <v>45000</v>
      </c>
      <c r="H173" s="174">
        <v>15000</v>
      </c>
      <c r="I173" s="174">
        <v>20</v>
      </c>
      <c r="J173" s="174">
        <v>35</v>
      </c>
      <c r="K173" s="188">
        <v>10</v>
      </c>
      <c r="L173" s="174">
        <v>100</v>
      </c>
      <c r="M173" s="174">
        <v>80</v>
      </c>
      <c r="N173" s="174"/>
      <c r="O173" s="174"/>
      <c r="P173" s="174">
        <v>4.2</v>
      </c>
      <c r="Q173" s="174"/>
      <c r="R173" s="187">
        <v>3.3600000000000003</v>
      </c>
      <c r="S173" s="187">
        <v>0</v>
      </c>
      <c r="T173" s="176" t="s">
        <v>65</v>
      </c>
      <c r="U173" s="174">
        <v>18000</v>
      </c>
      <c r="BA173" s="173"/>
      <c r="BB173" s="173"/>
      <c r="BC173" s="173"/>
      <c r="BD173" s="173"/>
      <c r="BE173" s="173"/>
      <c r="BF173" s="173"/>
    </row>
    <row r="174" spans="1:58" x14ac:dyDescent="0.35">
      <c r="A174" s="175" t="s">
        <v>119</v>
      </c>
      <c r="B174" s="175" t="s">
        <v>125</v>
      </c>
      <c r="C174" s="194" t="s">
        <v>124</v>
      </c>
      <c r="D174" s="175" t="s">
        <v>121</v>
      </c>
      <c r="E174" s="175"/>
      <c r="F174" s="175" t="s">
        <v>11</v>
      </c>
      <c r="G174" s="174">
        <v>45000</v>
      </c>
      <c r="H174" s="174">
        <v>15000</v>
      </c>
      <c r="I174" s="174">
        <v>20</v>
      </c>
      <c r="J174" s="174">
        <v>35</v>
      </c>
      <c r="K174" s="188">
        <v>10</v>
      </c>
      <c r="L174" s="174">
        <v>100</v>
      </c>
      <c r="M174" s="174">
        <v>80</v>
      </c>
      <c r="N174" s="174"/>
      <c r="O174" s="174"/>
      <c r="P174" s="174">
        <v>4.2</v>
      </c>
      <c r="Q174" s="174"/>
      <c r="R174" s="187">
        <v>3.3600000000000003</v>
      </c>
      <c r="S174" s="187">
        <v>0</v>
      </c>
      <c r="T174" s="176" t="s">
        <v>65</v>
      </c>
      <c r="U174" s="174">
        <v>18000</v>
      </c>
      <c r="BA174" s="173"/>
      <c r="BB174" s="173"/>
      <c r="BC174" s="173"/>
      <c r="BD174" s="173"/>
      <c r="BE174" s="173"/>
      <c r="BF174" s="173"/>
    </row>
    <row r="175" spans="1:58" x14ac:dyDescent="0.35">
      <c r="A175" s="175" t="s">
        <v>119</v>
      </c>
      <c r="B175" s="175" t="s">
        <v>125</v>
      </c>
      <c r="C175" s="194" t="s">
        <v>124</v>
      </c>
      <c r="D175" s="175" t="s">
        <v>121</v>
      </c>
      <c r="E175" s="175"/>
      <c r="F175" s="175" t="s">
        <v>11</v>
      </c>
      <c r="G175" s="174">
        <v>45000</v>
      </c>
      <c r="H175" s="174">
        <v>15000</v>
      </c>
      <c r="I175" s="174">
        <v>20</v>
      </c>
      <c r="J175" s="174">
        <v>35</v>
      </c>
      <c r="K175" s="188">
        <v>10</v>
      </c>
      <c r="L175" s="174">
        <v>100</v>
      </c>
      <c r="M175" s="174">
        <v>80</v>
      </c>
      <c r="N175" s="174"/>
      <c r="O175" s="174"/>
      <c r="P175" s="174">
        <v>4.2</v>
      </c>
      <c r="Q175" s="174"/>
      <c r="R175" s="187">
        <v>3.3600000000000003</v>
      </c>
      <c r="S175" s="187">
        <v>0</v>
      </c>
      <c r="T175" s="176" t="s">
        <v>65</v>
      </c>
      <c r="U175" s="174">
        <v>18000</v>
      </c>
      <c r="BA175" s="173"/>
      <c r="BB175" s="173"/>
      <c r="BC175" s="173"/>
      <c r="BD175" s="173"/>
      <c r="BE175" s="173"/>
      <c r="BF175" s="173"/>
    </row>
    <row r="176" spans="1:58" x14ac:dyDescent="0.35">
      <c r="A176" s="175" t="s">
        <v>119</v>
      </c>
      <c r="B176" s="175" t="s">
        <v>125</v>
      </c>
      <c r="C176" s="194" t="s">
        <v>124</v>
      </c>
      <c r="D176" s="175" t="s">
        <v>121</v>
      </c>
      <c r="E176" s="175"/>
      <c r="F176" s="175" t="s">
        <v>11</v>
      </c>
      <c r="G176" s="174">
        <v>45000</v>
      </c>
      <c r="H176" s="174">
        <v>15000</v>
      </c>
      <c r="I176" s="174">
        <v>20</v>
      </c>
      <c r="J176" s="174">
        <v>35</v>
      </c>
      <c r="K176" s="188">
        <v>10</v>
      </c>
      <c r="L176" s="174">
        <v>100</v>
      </c>
      <c r="M176" s="174">
        <v>80</v>
      </c>
      <c r="N176" s="174"/>
      <c r="O176" s="174"/>
      <c r="P176" s="174">
        <v>4.2</v>
      </c>
      <c r="Q176" s="174"/>
      <c r="R176" s="187">
        <v>3.3600000000000003</v>
      </c>
      <c r="S176" s="187">
        <v>0</v>
      </c>
      <c r="T176" s="176" t="s">
        <v>65</v>
      </c>
      <c r="U176" s="174">
        <v>18000</v>
      </c>
      <c r="BA176" s="173"/>
      <c r="BB176" s="173"/>
      <c r="BC176" s="173"/>
      <c r="BD176" s="173"/>
      <c r="BE176" s="173"/>
      <c r="BF176" s="173"/>
    </row>
    <row r="177" spans="1:58" x14ac:dyDescent="0.35">
      <c r="A177" s="175" t="s">
        <v>119</v>
      </c>
      <c r="B177" s="175" t="s">
        <v>125</v>
      </c>
      <c r="C177" s="194" t="s">
        <v>124</v>
      </c>
      <c r="D177" s="175" t="s">
        <v>121</v>
      </c>
      <c r="E177" s="175"/>
      <c r="F177" s="175" t="s">
        <v>11</v>
      </c>
      <c r="G177" s="174">
        <v>45000</v>
      </c>
      <c r="H177" s="174">
        <v>15000</v>
      </c>
      <c r="I177" s="174">
        <v>20</v>
      </c>
      <c r="J177" s="174">
        <v>35</v>
      </c>
      <c r="K177" s="188">
        <v>10</v>
      </c>
      <c r="L177" s="174">
        <v>100</v>
      </c>
      <c r="M177" s="174">
        <v>80</v>
      </c>
      <c r="N177" s="174"/>
      <c r="O177" s="174"/>
      <c r="P177" s="174">
        <v>4.2</v>
      </c>
      <c r="Q177" s="174"/>
      <c r="R177" s="187">
        <v>3.3600000000000003</v>
      </c>
      <c r="S177" s="187">
        <v>0</v>
      </c>
      <c r="T177" s="176" t="s">
        <v>65</v>
      </c>
      <c r="U177" s="174">
        <v>18000</v>
      </c>
      <c r="BA177" s="173"/>
      <c r="BB177" s="173"/>
      <c r="BC177" s="173"/>
      <c r="BD177" s="173"/>
      <c r="BE177" s="173"/>
      <c r="BF177" s="173"/>
    </row>
    <row r="178" spans="1:58" x14ac:dyDescent="0.35">
      <c r="A178" s="175" t="s">
        <v>119</v>
      </c>
      <c r="B178" s="175" t="s">
        <v>125</v>
      </c>
      <c r="C178" s="194" t="s">
        <v>124</v>
      </c>
      <c r="D178" s="175" t="s">
        <v>121</v>
      </c>
      <c r="E178" s="175"/>
      <c r="F178" s="175" t="s">
        <v>11</v>
      </c>
      <c r="G178" s="174">
        <v>60000</v>
      </c>
      <c r="H178" s="174">
        <v>20000</v>
      </c>
      <c r="I178" s="174">
        <v>20</v>
      </c>
      <c r="J178" s="174">
        <v>35</v>
      </c>
      <c r="K178" s="188">
        <v>22</v>
      </c>
      <c r="L178" s="174">
        <v>150</v>
      </c>
      <c r="M178" s="174">
        <v>100</v>
      </c>
      <c r="N178" s="174"/>
      <c r="O178" s="174"/>
      <c r="P178" s="174">
        <v>3.1818181818181817</v>
      </c>
      <c r="Q178" s="174"/>
      <c r="R178" s="187">
        <v>3.7333333333333329</v>
      </c>
      <c r="S178" s="187">
        <v>0</v>
      </c>
      <c r="T178" s="176" t="s">
        <v>65</v>
      </c>
      <c r="U178" s="174">
        <v>22000</v>
      </c>
      <c r="BA178" s="173"/>
      <c r="BB178" s="173"/>
      <c r="BC178" s="173"/>
      <c r="BD178" s="173"/>
      <c r="BE178" s="173"/>
      <c r="BF178" s="173"/>
    </row>
    <row r="179" spans="1:58" x14ac:dyDescent="0.35">
      <c r="A179" s="175" t="s">
        <v>119</v>
      </c>
      <c r="B179" s="175" t="s">
        <v>125</v>
      </c>
      <c r="C179" s="194" t="s">
        <v>124</v>
      </c>
      <c r="D179" s="175" t="s">
        <v>121</v>
      </c>
      <c r="E179" s="175"/>
      <c r="F179" s="175" t="s">
        <v>11</v>
      </c>
      <c r="G179" s="174">
        <v>60000</v>
      </c>
      <c r="H179" s="174">
        <v>20000</v>
      </c>
      <c r="I179" s="174">
        <v>20</v>
      </c>
      <c r="J179" s="174">
        <v>35</v>
      </c>
      <c r="K179" s="188">
        <v>22</v>
      </c>
      <c r="L179" s="174">
        <v>150</v>
      </c>
      <c r="M179" s="174">
        <v>100</v>
      </c>
      <c r="N179" s="174"/>
      <c r="O179" s="174"/>
      <c r="P179" s="174">
        <v>3.1818181818181817</v>
      </c>
      <c r="Q179" s="174"/>
      <c r="R179" s="187">
        <v>3.7333333333333329</v>
      </c>
      <c r="S179" s="187">
        <v>0</v>
      </c>
      <c r="T179" s="176" t="s">
        <v>65</v>
      </c>
      <c r="U179" s="174">
        <v>22000</v>
      </c>
      <c r="BA179" s="173"/>
      <c r="BB179" s="173"/>
      <c r="BC179" s="173"/>
      <c r="BD179" s="173"/>
      <c r="BE179" s="173"/>
      <c r="BF179" s="173"/>
    </row>
    <row r="180" spans="1:58" x14ac:dyDescent="0.35">
      <c r="A180" s="175" t="s">
        <v>119</v>
      </c>
      <c r="B180" s="175" t="s">
        <v>125</v>
      </c>
      <c r="C180" s="194" t="s">
        <v>124</v>
      </c>
      <c r="D180" s="175" t="s">
        <v>121</v>
      </c>
      <c r="E180" s="175"/>
      <c r="F180" s="175" t="s">
        <v>11</v>
      </c>
      <c r="G180" s="174">
        <v>60000</v>
      </c>
      <c r="H180" s="174">
        <v>20000</v>
      </c>
      <c r="I180" s="174">
        <v>20</v>
      </c>
      <c r="J180" s="174">
        <v>35</v>
      </c>
      <c r="K180" s="188">
        <v>22</v>
      </c>
      <c r="L180" s="174">
        <v>150</v>
      </c>
      <c r="M180" s="174">
        <v>100</v>
      </c>
      <c r="N180" s="174"/>
      <c r="O180" s="174"/>
      <c r="P180" s="174">
        <v>3.1818181818181817</v>
      </c>
      <c r="Q180" s="174"/>
      <c r="R180" s="187">
        <v>3.7333333333333329</v>
      </c>
      <c r="S180" s="187">
        <v>0</v>
      </c>
      <c r="T180" s="176" t="s">
        <v>65</v>
      </c>
      <c r="U180" s="174">
        <v>22000</v>
      </c>
      <c r="BA180" s="173"/>
      <c r="BB180" s="173"/>
      <c r="BC180" s="173"/>
      <c r="BD180" s="173"/>
      <c r="BE180" s="173"/>
      <c r="BF180" s="173"/>
    </row>
    <row r="181" spans="1:58" x14ac:dyDescent="0.35">
      <c r="A181" s="175" t="s">
        <v>119</v>
      </c>
      <c r="B181" s="175" t="s">
        <v>125</v>
      </c>
      <c r="C181" s="194" t="s">
        <v>124</v>
      </c>
      <c r="D181" s="175" t="s">
        <v>121</v>
      </c>
      <c r="E181" s="175"/>
      <c r="F181" s="175" t="s">
        <v>11</v>
      </c>
      <c r="G181" s="174">
        <v>60000</v>
      </c>
      <c r="H181" s="174">
        <v>20000</v>
      </c>
      <c r="I181" s="174">
        <v>20</v>
      </c>
      <c r="J181" s="174">
        <v>35</v>
      </c>
      <c r="K181" s="188">
        <v>22</v>
      </c>
      <c r="L181" s="174">
        <v>150</v>
      </c>
      <c r="M181" s="174">
        <v>100</v>
      </c>
      <c r="N181" s="174"/>
      <c r="O181" s="174"/>
      <c r="P181" s="174">
        <v>3.1818181818181817</v>
      </c>
      <c r="Q181" s="174"/>
      <c r="R181" s="187">
        <v>3.7333333333333329</v>
      </c>
      <c r="S181" s="187">
        <v>0</v>
      </c>
      <c r="T181" s="176" t="s">
        <v>65</v>
      </c>
      <c r="U181" s="174">
        <v>22000</v>
      </c>
      <c r="BA181" s="173"/>
      <c r="BB181" s="173"/>
      <c r="BC181" s="173"/>
      <c r="BD181" s="173"/>
      <c r="BE181" s="173"/>
      <c r="BF181" s="173"/>
    </row>
    <row r="182" spans="1:58" x14ac:dyDescent="0.35">
      <c r="A182" s="175" t="s">
        <v>119</v>
      </c>
      <c r="B182" s="175" t="s">
        <v>125</v>
      </c>
      <c r="C182" s="194" t="s">
        <v>124</v>
      </c>
      <c r="D182" s="175" t="s">
        <v>121</v>
      </c>
      <c r="E182" s="175"/>
      <c r="F182" s="175" t="s">
        <v>11</v>
      </c>
      <c r="G182" s="174">
        <v>60000</v>
      </c>
      <c r="H182" s="174">
        <v>20000</v>
      </c>
      <c r="I182" s="174">
        <v>20</v>
      </c>
      <c r="J182" s="174">
        <v>35</v>
      </c>
      <c r="K182" s="188">
        <v>22</v>
      </c>
      <c r="L182" s="174">
        <v>150</v>
      </c>
      <c r="M182" s="174">
        <v>100</v>
      </c>
      <c r="N182" s="174"/>
      <c r="O182" s="174"/>
      <c r="P182" s="174">
        <v>3.1818181818181817</v>
      </c>
      <c r="Q182" s="174"/>
      <c r="R182" s="187">
        <v>3.7333333333333329</v>
      </c>
      <c r="S182" s="187">
        <v>0</v>
      </c>
      <c r="T182" s="176" t="s">
        <v>65</v>
      </c>
      <c r="U182" s="174">
        <v>22000</v>
      </c>
      <c r="BA182" s="173"/>
      <c r="BB182" s="173"/>
      <c r="BC182" s="173"/>
      <c r="BD182" s="173"/>
      <c r="BE182" s="173"/>
      <c r="BF182" s="173"/>
    </row>
    <row r="183" spans="1:58" x14ac:dyDescent="0.35">
      <c r="A183" s="175" t="s">
        <v>119</v>
      </c>
      <c r="B183" s="175" t="s">
        <v>125</v>
      </c>
      <c r="C183" s="194" t="s">
        <v>124</v>
      </c>
      <c r="D183" s="175" t="s">
        <v>121</v>
      </c>
      <c r="E183" s="175"/>
      <c r="F183" s="175" t="s">
        <v>11</v>
      </c>
      <c r="G183" s="174">
        <v>60000</v>
      </c>
      <c r="H183" s="174">
        <v>20000</v>
      </c>
      <c r="I183" s="174">
        <v>20</v>
      </c>
      <c r="J183" s="174">
        <v>35</v>
      </c>
      <c r="K183" s="188">
        <v>22</v>
      </c>
      <c r="L183" s="174">
        <v>150</v>
      </c>
      <c r="M183" s="174">
        <v>100</v>
      </c>
      <c r="N183" s="174"/>
      <c r="O183" s="174"/>
      <c r="P183" s="174">
        <v>3.1818181818181817</v>
      </c>
      <c r="Q183" s="174"/>
      <c r="R183" s="187">
        <v>3.7333333333333329</v>
      </c>
      <c r="S183" s="187">
        <v>0</v>
      </c>
      <c r="T183" s="176" t="s">
        <v>65</v>
      </c>
      <c r="U183" s="174">
        <v>22000</v>
      </c>
      <c r="BA183" s="173"/>
      <c r="BB183" s="173"/>
      <c r="BC183" s="173"/>
      <c r="BD183" s="173"/>
      <c r="BE183" s="173"/>
      <c r="BF183" s="173"/>
    </row>
    <row r="184" spans="1:58" x14ac:dyDescent="0.35">
      <c r="A184" s="175" t="s">
        <v>119</v>
      </c>
      <c r="B184" s="175" t="s">
        <v>125</v>
      </c>
      <c r="C184" s="194" t="s">
        <v>124</v>
      </c>
      <c r="D184" s="175" t="s">
        <v>121</v>
      </c>
      <c r="E184" s="175"/>
      <c r="F184" s="175" t="s">
        <v>11</v>
      </c>
      <c r="G184" s="174">
        <v>60000</v>
      </c>
      <c r="H184" s="174">
        <v>20000</v>
      </c>
      <c r="I184" s="174">
        <v>20</v>
      </c>
      <c r="J184" s="174">
        <v>35</v>
      </c>
      <c r="K184" s="188">
        <v>22</v>
      </c>
      <c r="L184" s="174">
        <v>150</v>
      </c>
      <c r="M184" s="174">
        <v>100</v>
      </c>
      <c r="N184" s="174"/>
      <c r="O184" s="174"/>
      <c r="P184" s="174">
        <v>3.1818181818181817</v>
      </c>
      <c r="Q184" s="174"/>
      <c r="R184" s="187">
        <v>3.7333333333333329</v>
      </c>
      <c r="S184" s="187">
        <v>0</v>
      </c>
      <c r="T184" s="176" t="s">
        <v>65</v>
      </c>
      <c r="U184" s="174">
        <v>22000</v>
      </c>
      <c r="BA184" s="173"/>
      <c r="BB184" s="173"/>
      <c r="BC184" s="173"/>
      <c r="BD184" s="173"/>
      <c r="BE184" s="173"/>
      <c r="BF184" s="173"/>
    </row>
    <row r="185" spans="1:58" x14ac:dyDescent="0.35">
      <c r="A185" s="175" t="s">
        <v>119</v>
      </c>
      <c r="B185" s="175" t="s">
        <v>125</v>
      </c>
      <c r="C185" s="194" t="s">
        <v>124</v>
      </c>
      <c r="D185" s="175" t="s">
        <v>121</v>
      </c>
      <c r="E185" s="175"/>
      <c r="F185" s="175" t="s">
        <v>11</v>
      </c>
      <c r="G185" s="174">
        <v>60000</v>
      </c>
      <c r="H185" s="174">
        <v>20000</v>
      </c>
      <c r="I185" s="174">
        <v>20</v>
      </c>
      <c r="J185" s="174">
        <v>35</v>
      </c>
      <c r="K185" s="188">
        <v>22</v>
      </c>
      <c r="L185" s="174">
        <v>150</v>
      </c>
      <c r="M185" s="174">
        <v>100</v>
      </c>
      <c r="N185" s="174"/>
      <c r="O185" s="174"/>
      <c r="P185" s="174">
        <v>3.1818181818181817</v>
      </c>
      <c r="Q185" s="174"/>
      <c r="R185" s="187">
        <v>3.7333333333333329</v>
      </c>
      <c r="S185" s="187">
        <v>0</v>
      </c>
      <c r="T185" s="176" t="s">
        <v>65</v>
      </c>
      <c r="U185" s="174">
        <v>22000</v>
      </c>
      <c r="BA185" s="173"/>
      <c r="BB185" s="173"/>
      <c r="BC185" s="173"/>
      <c r="BD185" s="173"/>
      <c r="BE185" s="173"/>
      <c r="BF185" s="173"/>
    </row>
    <row r="186" spans="1:58" x14ac:dyDescent="0.35">
      <c r="A186" s="175" t="s">
        <v>119</v>
      </c>
      <c r="B186" s="175" t="s">
        <v>125</v>
      </c>
      <c r="C186" s="194" t="s">
        <v>124</v>
      </c>
      <c r="D186" s="175" t="s">
        <v>121</v>
      </c>
      <c r="E186" s="175"/>
      <c r="F186" s="175" t="s">
        <v>11</v>
      </c>
      <c r="G186" s="174">
        <v>80000</v>
      </c>
      <c r="H186" s="174">
        <v>30000</v>
      </c>
      <c r="I186" s="174">
        <v>20</v>
      </c>
      <c r="J186" s="174">
        <v>35</v>
      </c>
      <c r="K186" s="188">
        <v>32</v>
      </c>
      <c r="L186" s="174">
        <v>350</v>
      </c>
      <c r="M186" s="174">
        <v>275</v>
      </c>
      <c r="N186" s="174"/>
      <c r="O186" s="174"/>
      <c r="P186" s="174">
        <v>4.375</v>
      </c>
      <c r="Q186" s="174"/>
      <c r="R186" s="187">
        <v>3.2</v>
      </c>
      <c r="S186" s="187">
        <v>0</v>
      </c>
      <c r="T186" s="176" t="s">
        <v>65</v>
      </c>
      <c r="U186" s="174">
        <v>32000</v>
      </c>
      <c r="BA186" s="173"/>
      <c r="BB186" s="173"/>
      <c r="BC186" s="173"/>
      <c r="BD186" s="173"/>
      <c r="BE186" s="173"/>
      <c r="BF186" s="173"/>
    </row>
    <row r="187" spans="1:58" x14ac:dyDescent="0.35">
      <c r="A187" s="175" t="s">
        <v>119</v>
      </c>
      <c r="B187" s="175" t="s">
        <v>125</v>
      </c>
      <c r="C187" s="194" t="s">
        <v>124</v>
      </c>
      <c r="D187" s="175" t="s">
        <v>121</v>
      </c>
      <c r="E187" s="175"/>
      <c r="F187" s="175" t="s">
        <v>11</v>
      </c>
      <c r="G187" s="174">
        <v>80000</v>
      </c>
      <c r="H187" s="174">
        <v>30000</v>
      </c>
      <c r="I187" s="174">
        <v>20</v>
      </c>
      <c r="J187" s="174">
        <v>35</v>
      </c>
      <c r="K187" s="188">
        <v>32</v>
      </c>
      <c r="L187" s="174">
        <v>350</v>
      </c>
      <c r="M187" s="174">
        <v>275</v>
      </c>
      <c r="N187" s="174"/>
      <c r="O187" s="174"/>
      <c r="P187" s="174">
        <v>4.375</v>
      </c>
      <c r="Q187" s="174"/>
      <c r="R187" s="187">
        <v>3.2</v>
      </c>
      <c r="S187" s="187">
        <v>0</v>
      </c>
      <c r="T187" s="176" t="s">
        <v>65</v>
      </c>
      <c r="U187" s="174">
        <v>32000</v>
      </c>
      <c r="BA187" s="173"/>
      <c r="BB187" s="173"/>
      <c r="BC187" s="173"/>
      <c r="BD187" s="173"/>
      <c r="BE187" s="173"/>
      <c r="BF187" s="173"/>
    </row>
  </sheetData>
  <conditionalFormatting sqref="T51:T60 T158:T187 T136:T154 T62 T64:T114">
    <cfRule type="cellIs" dxfId="2" priority="1" operator="equal">
      <formula>"Pass"</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346110-ADAC-40C7-99CC-69E89AC46E62}">
  <sheetPr codeName="Sheet44">
    <tabColor rgb="FF00B0F0"/>
  </sheetPr>
  <dimension ref="A1:AD4"/>
  <sheetViews>
    <sheetView topLeftCell="A10" zoomScale="70" zoomScaleNormal="70" workbookViewId="0">
      <selection activeCell="H61" sqref="H61"/>
    </sheetView>
  </sheetViews>
  <sheetFormatPr defaultColWidth="8.7265625" defaultRowHeight="14.5" x14ac:dyDescent="0.35"/>
  <cols>
    <col min="1" max="16384" width="8.7265625" style="9"/>
  </cols>
  <sheetData>
    <row r="1" spans="1:30" ht="28.5" x14ac:dyDescent="0.65">
      <c r="A1" s="236" t="s">
        <v>148</v>
      </c>
      <c r="B1" s="236"/>
      <c r="C1" s="236"/>
      <c r="D1" s="236"/>
      <c r="E1" s="236"/>
      <c r="F1" s="236"/>
      <c r="G1" s="236"/>
      <c r="H1" s="236"/>
      <c r="I1" s="236"/>
      <c r="J1" s="236"/>
      <c r="K1" s="236"/>
      <c r="L1" s="236"/>
      <c r="M1" s="236"/>
      <c r="N1" s="236"/>
      <c r="O1" s="236"/>
      <c r="P1" s="236"/>
      <c r="Q1" s="236"/>
      <c r="R1" s="236"/>
      <c r="S1" s="236"/>
      <c r="T1" s="236"/>
      <c r="U1" s="236"/>
      <c r="V1" s="236"/>
      <c r="W1" s="236"/>
      <c r="X1" s="236"/>
      <c r="Y1" s="236"/>
      <c r="Z1" s="236"/>
      <c r="AA1" s="236"/>
      <c r="AB1" s="236"/>
      <c r="AC1" s="236"/>
      <c r="AD1" s="236"/>
    </row>
    <row r="2" spans="1:30" ht="18.649999999999999" customHeight="1" x14ac:dyDescent="0.35">
      <c r="A2" s="237" t="s">
        <v>149</v>
      </c>
      <c r="B2" s="237"/>
      <c r="C2" s="237"/>
      <c r="D2" s="237"/>
      <c r="E2" s="237"/>
      <c r="F2" s="237"/>
      <c r="G2" s="237"/>
      <c r="H2" s="237"/>
      <c r="I2" s="237"/>
      <c r="J2" s="237"/>
      <c r="K2" s="237"/>
      <c r="L2" s="237"/>
      <c r="M2" s="237"/>
      <c r="N2" s="237"/>
      <c r="O2" s="237"/>
      <c r="P2" s="237"/>
      <c r="Q2" s="237"/>
      <c r="R2" s="237"/>
      <c r="S2" s="237"/>
      <c r="T2" s="237"/>
      <c r="U2" s="237"/>
      <c r="V2" s="237"/>
      <c r="W2" s="237"/>
      <c r="X2" s="237"/>
      <c r="Y2" s="237"/>
      <c r="Z2" s="237"/>
      <c r="AA2" s="237"/>
    </row>
    <row r="3" spans="1:30" ht="18.649999999999999" customHeight="1" x14ac:dyDescent="0.35">
      <c r="A3" s="237"/>
      <c r="B3" s="237"/>
      <c r="C3" s="237"/>
      <c r="D3" s="237"/>
      <c r="E3" s="237"/>
      <c r="F3" s="237"/>
      <c r="G3" s="237"/>
      <c r="H3" s="237"/>
      <c r="I3" s="237"/>
      <c r="J3" s="237"/>
      <c r="K3" s="237"/>
      <c r="L3" s="237"/>
      <c r="M3" s="237"/>
      <c r="N3" s="237"/>
      <c r="O3" s="237"/>
      <c r="P3" s="237"/>
      <c r="Q3" s="237"/>
      <c r="R3" s="237"/>
      <c r="S3" s="237"/>
      <c r="T3" s="237"/>
      <c r="U3" s="237"/>
      <c r="V3" s="237"/>
      <c r="W3" s="237"/>
      <c r="X3" s="237"/>
      <c r="Y3" s="237"/>
      <c r="Z3" s="237"/>
      <c r="AA3" s="237"/>
    </row>
    <row r="4" spans="1:30" ht="18.649999999999999" customHeight="1" x14ac:dyDescent="0.35">
      <c r="A4" s="237"/>
      <c r="B4" s="237"/>
      <c r="C4" s="237"/>
      <c r="D4" s="237"/>
      <c r="E4" s="237"/>
      <c r="F4" s="237"/>
      <c r="G4" s="237"/>
      <c r="H4" s="237"/>
      <c r="I4" s="237"/>
      <c r="J4" s="237"/>
      <c r="K4" s="237"/>
      <c r="L4" s="237"/>
      <c r="M4" s="237"/>
      <c r="N4" s="237"/>
      <c r="O4" s="237"/>
      <c r="P4" s="237"/>
      <c r="Q4" s="237"/>
      <c r="R4" s="237"/>
      <c r="S4" s="237"/>
      <c r="T4" s="237"/>
      <c r="U4" s="237"/>
      <c r="V4" s="237"/>
      <c r="W4" s="237"/>
      <c r="X4" s="237"/>
      <c r="Y4" s="237"/>
      <c r="Z4" s="237"/>
      <c r="AA4" s="237"/>
    </row>
  </sheetData>
  <mergeCells count="2">
    <mergeCell ref="A1:AD1"/>
    <mergeCell ref="A2:AA4"/>
  </mergeCells>
  <pageMargins left="0.7" right="0.7" top="0.75" bottom="0.75" header="0.3" footer="0.3"/>
  <pageSetup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D5AA9-334B-4FAA-9863-508BE9831C3D}">
  <sheetPr codeName="Sheet24">
    <tabColor rgb="FFFFFF00"/>
  </sheetPr>
  <dimension ref="A1:AL50"/>
  <sheetViews>
    <sheetView topLeftCell="A4" zoomScale="90" zoomScaleNormal="90" workbookViewId="0">
      <selection activeCell="R43" sqref="R43"/>
    </sheetView>
  </sheetViews>
  <sheetFormatPr defaultRowHeight="14.5" x14ac:dyDescent="0.35"/>
  <sheetData>
    <row r="1" ht="13.5" customHeight="1" x14ac:dyDescent="0.35"/>
    <row r="37" spans="1:38" ht="15.5" x14ac:dyDescent="0.35">
      <c r="C37" s="117" t="s">
        <v>368</v>
      </c>
    </row>
    <row r="39" spans="1:38" ht="24.5" x14ac:dyDescent="0.35">
      <c r="A39" s="69" t="s">
        <v>153</v>
      </c>
      <c r="B39" s="70" t="s">
        <v>154</v>
      </c>
      <c r="C39" s="70" t="s">
        <v>155</v>
      </c>
      <c r="D39" s="70"/>
      <c r="N39" s="69" t="s">
        <v>153</v>
      </c>
      <c r="O39" s="70" t="s">
        <v>154</v>
      </c>
      <c r="P39" s="70" t="s">
        <v>155</v>
      </c>
      <c r="Y39" s="69" t="s">
        <v>156</v>
      </c>
      <c r="Z39" s="70" t="s">
        <v>154</v>
      </c>
      <c r="AA39" s="70" t="s">
        <v>155</v>
      </c>
      <c r="AJ39" s="69" t="s">
        <v>156</v>
      </c>
      <c r="AK39" s="70" t="s">
        <v>154</v>
      </c>
      <c r="AL39" s="70" t="s">
        <v>155</v>
      </c>
    </row>
    <row r="40" spans="1:38" x14ac:dyDescent="0.35">
      <c r="A40" s="71" t="s">
        <v>157</v>
      </c>
      <c r="B40" s="71">
        <v>0</v>
      </c>
      <c r="C40" s="71">
        <f>B40*0.133+0.64</f>
        <v>0.64</v>
      </c>
      <c r="D40" s="71"/>
      <c r="N40" s="71" t="s">
        <v>157</v>
      </c>
      <c r="O40" s="71">
        <v>0</v>
      </c>
      <c r="P40" s="71">
        <v>0.4</v>
      </c>
      <c r="Y40" s="71" t="s">
        <v>157</v>
      </c>
      <c r="Z40" s="71">
        <v>0</v>
      </c>
      <c r="AA40" s="71">
        <v>59</v>
      </c>
      <c r="AJ40" s="71" t="s">
        <v>157</v>
      </c>
      <c r="AK40" s="71">
        <v>0</v>
      </c>
      <c r="AL40" s="71">
        <v>78</v>
      </c>
    </row>
    <row r="41" spans="1:38" x14ac:dyDescent="0.35">
      <c r="A41" s="71" t="s">
        <v>158</v>
      </c>
      <c r="B41" s="71">
        <v>40</v>
      </c>
      <c r="C41" s="71">
        <f>B41*0.133+0.64</f>
        <v>5.96</v>
      </c>
      <c r="D41" s="71"/>
      <c r="N41" s="71" t="s">
        <v>158</v>
      </c>
      <c r="O41" s="71">
        <v>40</v>
      </c>
      <c r="P41" s="71">
        <f>0.08*O41+0.4989</f>
        <v>3.6989000000000001</v>
      </c>
      <c r="Y41" s="71" t="s">
        <v>158</v>
      </c>
      <c r="Z41" s="71">
        <v>40</v>
      </c>
      <c r="AA41" s="71">
        <v>59</v>
      </c>
      <c r="AJ41" s="71" t="s">
        <v>158</v>
      </c>
      <c r="AK41" s="71">
        <v>40</v>
      </c>
      <c r="AL41" s="71">
        <v>78</v>
      </c>
    </row>
    <row r="42" spans="1:38" x14ac:dyDescent="0.35">
      <c r="A42" s="71"/>
      <c r="B42" s="71"/>
      <c r="C42" s="71"/>
      <c r="D42" s="71"/>
      <c r="N42" s="71"/>
      <c r="O42" s="71"/>
      <c r="P42" s="71"/>
      <c r="Y42" s="71"/>
      <c r="Z42" s="71"/>
      <c r="AA42" s="71"/>
      <c r="AJ42" s="71"/>
      <c r="AK42" s="71"/>
      <c r="AL42" s="71"/>
    </row>
    <row r="43" spans="1:38" x14ac:dyDescent="0.35">
      <c r="A43" s="71"/>
      <c r="B43" s="71"/>
      <c r="C43" s="71"/>
      <c r="D43" s="71"/>
      <c r="N43" s="71"/>
      <c r="O43" s="71"/>
      <c r="P43" s="71"/>
      <c r="Y43" s="71"/>
      <c r="Z43" s="71"/>
      <c r="AA43" s="71"/>
      <c r="AJ43" s="71"/>
      <c r="AK43" s="71"/>
      <c r="AL43" s="71"/>
    </row>
    <row r="44" spans="1:38" x14ac:dyDescent="0.35">
      <c r="A44" s="71"/>
      <c r="B44" s="71"/>
      <c r="C44" s="71"/>
      <c r="D44" s="71"/>
      <c r="N44" s="71"/>
      <c r="O44" s="71"/>
      <c r="P44" s="71"/>
      <c r="Y44" s="71"/>
      <c r="Z44" s="71"/>
      <c r="AA44" s="71"/>
      <c r="AJ44" s="71"/>
      <c r="AK44" s="71"/>
      <c r="AL44" s="71"/>
    </row>
    <row r="45" spans="1:38" x14ac:dyDescent="0.35">
      <c r="A45" s="71" t="s">
        <v>159</v>
      </c>
      <c r="B45" s="71"/>
      <c r="C45" s="71"/>
      <c r="D45" s="71"/>
      <c r="N45" s="71" t="s">
        <v>159</v>
      </c>
      <c r="O45" s="71"/>
      <c r="P45" s="71"/>
      <c r="Y45" s="71" t="s">
        <v>160</v>
      </c>
      <c r="Z45" s="71"/>
      <c r="AA45" s="71"/>
      <c r="AJ45" s="71" t="s">
        <v>160</v>
      </c>
      <c r="AK45" s="71"/>
      <c r="AL45" s="71"/>
    </row>
    <row r="46" spans="1:38" x14ac:dyDescent="0.35">
      <c r="A46" s="71" t="s">
        <v>150</v>
      </c>
      <c r="B46" s="71"/>
      <c r="C46" s="71"/>
      <c r="D46" s="71"/>
      <c r="N46" s="71" t="s">
        <v>25</v>
      </c>
      <c r="O46" s="71"/>
      <c r="P46" s="71"/>
      <c r="Y46" s="71" t="s">
        <v>25</v>
      </c>
      <c r="Z46" s="71"/>
      <c r="AA46" s="71"/>
      <c r="AJ46" s="71" t="s">
        <v>25</v>
      </c>
      <c r="AK46" s="71"/>
      <c r="AL46" s="71"/>
    </row>
    <row r="47" spans="1:38" x14ac:dyDescent="0.35">
      <c r="A47" s="71"/>
      <c r="B47" s="71"/>
      <c r="C47" s="71"/>
      <c r="D47" s="71"/>
      <c r="N47" s="71"/>
      <c r="O47" s="71"/>
      <c r="P47" s="71"/>
      <c r="Y47" s="71"/>
      <c r="Z47" s="71"/>
      <c r="AA47" s="71"/>
      <c r="AJ47" s="71"/>
      <c r="AK47" s="71"/>
      <c r="AL47" s="71"/>
    </row>
    <row r="48" spans="1:38" x14ac:dyDescent="0.35">
      <c r="A48" s="71" t="s">
        <v>161</v>
      </c>
      <c r="B48" s="71" t="s">
        <v>155</v>
      </c>
      <c r="C48" s="71"/>
      <c r="D48" s="71"/>
      <c r="N48" s="71" t="s">
        <v>161</v>
      </c>
      <c r="O48" s="71" t="s">
        <v>155</v>
      </c>
      <c r="P48" s="71"/>
      <c r="Y48" s="71" t="s">
        <v>161</v>
      </c>
      <c r="Z48" s="71" t="s">
        <v>155</v>
      </c>
      <c r="AA48" s="71"/>
      <c r="AJ48" s="71" t="s">
        <v>161</v>
      </c>
      <c r="AK48" s="71" t="s">
        <v>155</v>
      </c>
      <c r="AL48" s="71"/>
    </row>
    <row r="49" spans="1:38" x14ac:dyDescent="0.35">
      <c r="A49" s="71">
        <v>0</v>
      </c>
      <c r="B49" s="71">
        <f>A49*0.133+0.64</f>
        <v>0.64</v>
      </c>
      <c r="C49" s="71"/>
      <c r="D49" s="71"/>
      <c r="N49" s="71">
        <v>0</v>
      </c>
      <c r="O49" s="71">
        <f>0.08*N49+0.4989</f>
        <v>0.49890000000000001</v>
      </c>
      <c r="P49" s="71"/>
      <c r="Y49" s="71">
        <v>0</v>
      </c>
      <c r="Z49" s="71">
        <v>55</v>
      </c>
      <c r="AA49" s="71"/>
      <c r="AJ49" s="71">
        <v>0</v>
      </c>
      <c r="AK49" s="71">
        <v>76</v>
      </c>
      <c r="AL49" s="71"/>
    </row>
    <row r="50" spans="1:38" x14ac:dyDescent="0.35">
      <c r="A50" s="71">
        <v>40</v>
      </c>
      <c r="B50" s="71">
        <f>A50*0.133+0.64</f>
        <v>5.96</v>
      </c>
      <c r="C50" s="71"/>
      <c r="D50" s="71"/>
      <c r="N50" s="71">
        <v>40</v>
      </c>
      <c r="O50" s="71">
        <f>0.08*N50+0.4989</f>
        <v>3.6989000000000001</v>
      </c>
      <c r="P50" s="71"/>
      <c r="Y50" s="71">
        <v>40</v>
      </c>
      <c r="Z50" s="71">
        <v>55</v>
      </c>
      <c r="AA50" s="71"/>
      <c r="AJ50" s="71">
        <v>40</v>
      </c>
      <c r="AK50" s="71">
        <v>76</v>
      </c>
      <c r="AL50" s="71"/>
    </row>
  </sheetData>
  <customSheetViews>
    <customSheetView guid="{D3B96324-F501-48FE-9FB5-D5CAA0435798}" scale="90" topLeftCell="L13">
      <selection activeCell="AD43" sqref="AD43"/>
      <pageMargins left="0" right="0" top="0" bottom="0" header="0" footer="0"/>
    </customSheetView>
    <customSheetView guid="{DCECD019-2153-4FC6-B239-22C55039ABFE}" scale="90" topLeftCell="L13">
      <selection activeCell="AD43" sqref="AD43"/>
      <pageMargins left="0" right="0" top="0" bottom="0" header="0" footer="0"/>
    </customSheetView>
  </customSheetViews>
  <pageMargins left="0.7" right="0.7" top="0.75" bottom="0.75" header="0.3" footer="0.3"/>
  <pageSetup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F01E5-F95E-40F0-98E7-F851A4F1596E}">
  <sheetPr>
    <tabColor rgb="FFFFFF00"/>
  </sheetPr>
  <dimension ref="A1"/>
  <sheetViews>
    <sheetView zoomScale="120" zoomScaleNormal="120" workbookViewId="0">
      <selection activeCell="J29" sqref="J29"/>
    </sheetView>
  </sheetViews>
  <sheetFormatPr defaultRowHeight="14.5" x14ac:dyDescent="0.3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8A026-7B14-447C-B3DE-85788E18969C}">
  <sheetPr codeName="Sheet25">
    <tabColor rgb="FFFFFF00"/>
  </sheetPr>
  <dimension ref="A1:AU217"/>
  <sheetViews>
    <sheetView zoomScale="90" zoomScaleNormal="90" workbookViewId="0">
      <pane ySplit="1" topLeftCell="A107" activePane="bottomLeft" state="frozen"/>
      <selection activeCell="P40" sqref="P40"/>
      <selection pane="bottomLeft" activeCell="P40" sqref="P40"/>
    </sheetView>
  </sheetViews>
  <sheetFormatPr defaultColWidth="8.7265625" defaultRowHeight="14.5" x14ac:dyDescent="0.35"/>
  <cols>
    <col min="1" max="1" width="9.1796875" style="30" customWidth="1"/>
    <col min="2" max="2" width="15.1796875" style="30" customWidth="1"/>
    <col min="3" max="3" width="13.81640625" style="30" customWidth="1"/>
    <col min="4" max="4" width="13" style="30" customWidth="1"/>
    <col min="5" max="5" width="8.453125" style="30" customWidth="1"/>
    <col min="6" max="6" width="7.7265625" style="30" customWidth="1"/>
    <col min="7" max="7" width="6" style="30" customWidth="1"/>
    <col min="8" max="8" width="9.81640625" style="30" customWidth="1"/>
    <col min="9" max="9" width="5.1796875" style="30" customWidth="1"/>
    <col min="10" max="10" width="12.54296875" style="30" customWidth="1"/>
    <col min="11" max="11" width="15.54296875" style="30" customWidth="1"/>
    <col min="12" max="12" width="16.81640625" style="30" customWidth="1"/>
    <col min="13" max="13" width="16.54296875" style="30" customWidth="1"/>
    <col min="14" max="14" width="8.7265625" style="59"/>
    <col min="15" max="15" width="11.54296875" style="30" bestFit="1" customWidth="1"/>
    <col min="16" max="16" width="15.1796875" style="30" customWidth="1"/>
    <col min="17" max="17" width="9.81640625" style="29" customWidth="1"/>
    <col min="18" max="18" width="9.7265625" style="30" customWidth="1"/>
    <col min="19" max="19" width="9.54296875" style="30" bestFit="1" customWidth="1"/>
    <col min="20" max="20" width="10.453125" style="30" bestFit="1" customWidth="1"/>
    <col min="21" max="21" width="12.453125" style="44" customWidth="1"/>
    <col min="22" max="22" width="8.453125" style="28" customWidth="1"/>
    <col min="23" max="23" width="8.1796875" style="28" bestFit="1" customWidth="1"/>
    <col min="24" max="24" width="7.81640625" style="28" bestFit="1" customWidth="1"/>
    <col min="25" max="25" width="8.26953125" style="28" bestFit="1" customWidth="1"/>
    <col min="26" max="27" width="8.7265625" style="30"/>
    <col min="28" max="28" width="12.7265625" style="30" customWidth="1"/>
    <col min="29" max="16384" width="8.7265625" style="30"/>
  </cols>
  <sheetData>
    <row r="1" spans="1:29" s="52" customFormat="1" ht="69.650000000000006" customHeight="1" x14ac:dyDescent="0.35">
      <c r="A1" s="52" t="s">
        <v>162</v>
      </c>
      <c r="B1" s="52" t="s">
        <v>163</v>
      </c>
      <c r="C1" s="52" t="s">
        <v>164</v>
      </c>
      <c r="D1" s="52" t="s">
        <v>165</v>
      </c>
      <c r="E1" s="52" t="s">
        <v>166</v>
      </c>
      <c r="F1" s="52" t="s">
        <v>167</v>
      </c>
      <c r="G1" s="52" t="s">
        <v>0</v>
      </c>
      <c r="H1" s="52" t="s">
        <v>99</v>
      </c>
      <c r="I1" s="52" t="s">
        <v>1</v>
      </c>
      <c r="J1" s="52" t="s">
        <v>168</v>
      </c>
      <c r="K1" s="52" t="s">
        <v>169</v>
      </c>
      <c r="L1" s="52" t="s">
        <v>52</v>
      </c>
      <c r="M1" s="52" t="s">
        <v>53</v>
      </c>
      <c r="N1" s="57" t="s">
        <v>170</v>
      </c>
      <c r="O1" s="52" t="s">
        <v>105</v>
      </c>
      <c r="P1" s="52" t="s">
        <v>106</v>
      </c>
      <c r="Q1" s="54" t="s">
        <v>171</v>
      </c>
      <c r="R1" s="52" t="s">
        <v>172</v>
      </c>
      <c r="S1" s="52" t="s">
        <v>173</v>
      </c>
      <c r="T1" s="52" t="s">
        <v>174</v>
      </c>
      <c r="U1" s="58" t="s">
        <v>175</v>
      </c>
      <c r="V1" s="27" t="s">
        <v>176</v>
      </c>
      <c r="W1" s="27" t="s">
        <v>177</v>
      </c>
      <c r="X1" s="27" t="s">
        <v>178</v>
      </c>
      <c r="Y1" s="27" t="s">
        <v>179</v>
      </c>
      <c r="Z1" s="54" t="s">
        <v>180</v>
      </c>
      <c r="AA1" s="52" t="s">
        <v>181</v>
      </c>
      <c r="AB1" s="52" t="s">
        <v>182</v>
      </c>
      <c r="AC1" s="52" t="s">
        <v>183</v>
      </c>
    </row>
    <row r="2" spans="1:29" x14ac:dyDescent="0.35">
      <c r="A2" s="30">
        <v>2345828</v>
      </c>
      <c r="B2" s="30" t="s">
        <v>184</v>
      </c>
      <c r="C2" s="30" t="s">
        <v>185</v>
      </c>
      <c r="D2" s="30" t="s">
        <v>186</v>
      </c>
      <c r="E2" s="30" t="s">
        <v>186</v>
      </c>
      <c r="G2" s="30" t="s">
        <v>121</v>
      </c>
      <c r="H2" s="30" t="s">
        <v>122</v>
      </c>
      <c r="I2" s="30" t="s">
        <v>6</v>
      </c>
      <c r="J2" s="38">
        <v>1.25</v>
      </c>
      <c r="K2" s="38">
        <v>1.1000000000000001</v>
      </c>
      <c r="L2" s="38">
        <v>68</v>
      </c>
      <c r="M2" s="38">
        <v>80</v>
      </c>
      <c r="N2" s="59">
        <v>12</v>
      </c>
      <c r="O2" s="30">
        <v>170.1</v>
      </c>
      <c r="P2" s="30">
        <v>118.2</v>
      </c>
      <c r="Q2" s="40">
        <f t="shared" ref="Q2:Q82" si="0">0.133*N2+0.64</f>
        <v>2.2360000000000002</v>
      </c>
      <c r="R2" s="38">
        <f>0.085*N2+0.3</f>
        <v>1.32</v>
      </c>
      <c r="S2" s="38">
        <f>'Graph Electric combi Full+half'!$AA$40</f>
        <v>59</v>
      </c>
      <c r="T2" s="38">
        <f>'Graph Electric combi Full+half'!$AL$40</f>
        <v>78</v>
      </c>
      <c r="U2" s="44" t="str">
        <f t="shared" ref="U2:U65" si="1">IF((AND(J2&lt;=Q2, K2&lt;=R2, L2&gt;=$S$2, M2&gt;=$T$2)), "Pass", "Fail")</f>
        <v>Pass</v>
      </c>
      <c r="V2" s="28" t="str">
        <f t="shared" ref="V2:V15" si="2">IF(J2&lt;=Q2, "Pass", "Fail")</f>
        <v>Pass</v>
      </c>
      <c r="W2" s="28" t="str">
        <f t="shared" ref="W2:W15" si="3">IF(K2&lt;=R2, "Pass", "Fail")</f>
        <v>Pass</v>
      </c>
      <c r="X2" s="28" t="str">
        <f t="shared" ref="X2:X15" si="4">IF(L2&gt;=$S$2, "Pass", "Fail")</f>
        <v>Pass</v>
      </c>
      <c r="Y2" s="28" t="str">
        <f t="shared" ref="Y2:Y15" si="5">IF(M2&gt;=$T$2, "Pass", "Fail")</f>
        <v>Pass</v>
      </c>
      <c r="Z2" s="29">
        <v>1</v>
      </c>
    </row>
    <row r="3" spans="1:29" x14ac:dyDescent="0.35">
      <c r="A3" s="30">
        <v>2232976</v>
      </c>
      <c r="B3" s="30" t="s">
        <v>187</v>
      </c>
      <c r="C3" s="30" t="s">
        <v>188</v>
      </c>
      <c r="D3" s="30" t="s">
        <v>189</v>
      </c>
      <c r="E3" s="30" t="s">
        <v>189</v>
      </c>
      <c r="G3" s="30" t="s">
        <v>121</v>
      </c>
      <c r="H3" s="30" t="s">
        <v>122</v>
      </c>
      <c r="I3" s="30" t="s">
        <v>6</v>
      </c>
      <c r="J3" s="38">
        <v>1.18</v>
      </c>
      <c r="K3" s="38">
        <v>1.51</v>
      </c>
      <c r="L3" s="38">
        <v>59</v>
      </c>
      <c r="M3" s="38">
        <v>80</v>
      </c>
      <c r="N3" s="59">
        <v>14</v>
      </c>
      <c r="O3" s="30">
        <v>171.3</v>
      </c>
      <c r="P3" s="30">
        <v>139.9</v>
      </c>
      <c r="Q3" s="40">
        <f t="shared" si="0"/>
        <v>2.5020000000000002</v>
      </c>
      <c r="R3" s="38">
        <f t="shared" ref="R3:R66" si="6">0.085*N3+0.3</f>
        <v>1.4900000000000002</v>
      </c>
      <c r="S3" s="38"/>
      <c r="T3" s="38"/>
      <c r="U3" s="44" t="str">
        <f t="shared" si="1"/>
        <v>Fail</v>
      </c>
      <c r="V3" s="28" t="str">
        <f t="shared" si="2"/>
        <v>Pass</v>
      </c>
      <c r="W3" s="28" t="str">
        <f t="shared" si="3"/>
        <v>Fail</v>
      </c>
      <c r="X3" s="28" t="str">
        <f t="shared" si="4"/>
        <v>Pass</v>
      </c>
      <c r="Y3" s="28" t="str">
        <f t="shared" si="5"/>
        <v>Pass</v>
      </c>
      <c r="Z3" s="29">
        <v>1.26</v>
      </c>
    </row>
    <row r="4" spans="1:29" x14ac:dyDescent="0.35">
      <c r="A4" s="60"/>
      <c r="B4" s="31" t="s">
        <v>188</v>
      </c>
      <c r="C4" s="31" t="s">
        <v>188</v>
      </c>
      <c r="D4" s="31"/>
      <c r="E4" s="31" t="s">
        <v>190</v>
      </c>
      <c r="F4" s="31"/>
      <c r="G4" s="31" t="s">
        <v>121</v>
      </c>
      <c r="H4" s="31" t="s">
        <v>122</v>
      </c>
      <c r="I4" s="31" t="s">
        <v>6</v>
      </c>
      <c r="J4" s="32">
        <v>0.92</v>
      </c>
      <c r="K4" s="32">
        <v>1.42</v>
      </c>
      <c r="L4" s="32">
        <v>59</v>
      </c>
      <c r="M4" s="32">
        <v>78</v>
      </c>
      <c r="N4" s="33">
        <v>14</v>
      </c>
      <c r="O4" s="31">
        <v>109</v>
      </c>
      <c r="P4" s="31">
        <v>136</v>
      </c>
      <c r="Q4" s="40">
        <f t="shared" si="0"/>
        <v>2.5020000000000002</v>
      </c>
      <c r="R4" s="38">
        <f t="shared" si="6"/>
        <v>1.4900000000000002</v>
      </c>
      <c r="S4" s="38"/>
      <c r="T4" s="38"/>
      <c r="U4" s="44" t="str">
        <f t="shared" si="1"/>
        <v>Pass</v>
      </c>
      <c r="V4" s="28" t="str">
        <f t="shared" si="2"/>
        <v>Pass</v>
      </c>
      <c r="W4" s="28" t="str">
        <f t="shared" si="3"/>
        <v>Pass</v>
      </c>
      <c r="X4" s="28" t="str">
        <f t="shared" si="4"/>
        <v>Pass</v>
      </c>
      <c r="Y4" s="28" t="str">
        <f t="shared" si="5"/>
        <v>Pass</v>
      </c>
      <c r="Z4" s="29">
        <v>1.0900000000000001</v>
      </c>
    </row>
    <row r="5" spans="1:29" ht="17.149999999999999" customHeight="1" x14ac:dyDescent="0.35">
      <c r="A5" s="60"/>
      <c r="B5" s="31" t="s">
        <v>188</v>
      </c>
      <c r="C5" s="31" t="s">
        <v>188</v>
      </c>
      <c r="D5" s="31"/>
      <c r="E5" s="31" t="s">
        <v>191</v>
      </c>
      <c r="F5" s="31"/>
      <c r="G5" s="31" t="s">
        <v>121</v>
      </c>
      <c r="H5" s="31" t="s">
        <v>122</v>
      </c>
      <c r="I5" s="31" t="s">
        <v>6</v>
      </c>
      <c r="J5" s="32">
        <v>2.13</v>
      </c>
      <c r="K5" s="32">
        <v>1.56</v>
      </c>
      <c r="L5" s="32">
        <v>61</v>
      </c>
      <c r="M5" s="32">
        <v>79</v>
      </c>
      <c r="N5" s="33">
        <v>14</v>
      </c>
      <c r="O5" s="31">
        <v>204</v>
      </c>
      <c r="P5" s="31">
        <v>141</v>
      </c>
      <c r="Q5" s="40">
        <f t="shared" si="0"/>
        <v>2.5020000000000002</v>
      </c>
      <c r="R5" s="38">
        <f t="shared" si="6"/>
        <v>1.4900000000000002</v>
      </c>
      <c r="S5" s="38"/>
      <c r="T5" s="38"/>
      <c r="U5" s="44" t="str">
        <f t="shared" si="1"/>
        <v>Fail</v>
      </c>
      <c r="V5" s="28" t="str">
        <f t="shared" si="2"/>
        <v>Pass</v>
      </c>
      <c r="W5" s="28" t="str">
        <f t="shared" si="3"/>
        <v>Fail</v>
      </c>
      <c r="X5" s="28" t="str">
        <f t="shared" si="4"/>
        <v>Pass</v>
      </c>
      <c r="Y5" s="28" t="str">
        <f t="shared" si="5"/>
        <v>Pass</v>
      </c>
      <c r="Z5" s="29">
        <v>1.22</v>
      </c>
    </row>
    <row r="6" spans="1:29" x14ac:dyDescent="0.35">
      <c r="A6" s="30">
        <v>2332637</v>
      </c>
      <c r="B6" s="30" t="s">
        <v>192</v>
      </c>
      <c r="C6" s="30" t="s">
        <v>193</v>
      </c>
      <c r="D6" s="30" t="s">
        <v>194</v>
      </c>
      <c r="E6" s="30" t="s">
        <v>194</v>
      </c>
      <c r="F6" s="30" t="s">
        <v>195</v>
      </c>
      <c r="G6" s="30" t="s">
        <v>121</v>
      </c>
      <c r="H6" s="30" t="s">
        <v>122</v>
      </c>
      <c r="I6" s="30" t="s">
        <v>6</v>
      </c>
      <c r="J6" s="38">
        <v>2.57</v>
      </c>
      <c r="K6" s="38">
        <v>1.69</v>
      </c>
      <c r="L6" s="38">
        <v>66</v>
      </c>
      <c r="M6" s="38">
        <v>80</v>
      </c>
      <c r="N6" s="59">
        <v>16</v>
      </c>
      <c r="O6" s="30">
        <v>186.1</v>
      </c>
      <c r="P6" s="30">
        <v>148.80000000000001</v>
      </c>
      <c r="Q6" s="40">
        <f t="shared" si="0"/>
        <v>2.7680000000000002</v>
      </c>
      <c r="R6" s="38">
        <f t="shared" si="6"/>
        <v>1.6600000000000001</v>
      </c>
      <c r="S6" s="38"/>
      <c r="T6" s="38"/>
      <c r="U6" s="44" t="str">
        <f t="shared" si="1"/>
        <v>Fail</v>
      </c>
      <c r="V6" s="28" t="str">
        <f t="shared" si="2"/>
        <v>Pass</v>
      </c>
      <c r="W6" s="28" t="str">
        <f t="shared" si="3"/>
        <v>Fail</v>
      </c>
      <c r="X6" s="28" t="str">
        <f t="shared" si="4"/>
        <v>Pass</v>
      </c>
      <c r="Y6" s="28" t="str">
        <f t="shared" si="5"/>
        <v>Pass</v>
      </c>
      <c r="Z6" s="29">
        <v>1.32</v>
      </c>
    </row>
    <row r="7" spans="1:29" x14ac:dyDescent="0.35">
      <c r="B7" s="35" t="s">
        <v>193</v>
      </c>
      <c r="C7" s="35" t="s">
        <v>193</v>
      </c>
      <c r="D7" s="35"/>
      <c r="E7" s="35" t="s">
        <v>196</v>
      </c>
      <c r="F7" s="35"/>
      <c r="G7" s="35" t="s">
        <v>121</v>
      </c>
      <c r="H7" s="35" t="s">
        <v>122</v>
      </c>
      <c r="I7" s="35"/>
      <c r="J7" s="36">
        <v>3.1</v>
      </c>
      <c r="K7" s="36">
        <v>2.12</v>
      </c>
      <c r="L7" s="36">
        <v>68.400000000000006</v>
      </c>
      <c r="M7" s="36">
        <v>81.599999999999994</v>
      </c>
      <c r="N7" s="39">
        <v>24</v>
      </c>
      <c r="O7" s="35">
        <v>289.89999999999998</v>
      </c>
      <c r="P7" s="35">
        <v>226.6</v>
      </c>
      <c r="Q7" s="40">
        <f t="shared" si="0"/>
        <v>3.8320000000000003</v>
      </c>
      <c r="R7" s="38">
        <f t="shared" si="6"/>
        <v>2.34</v>
      </c>
      <c r="S7" s="38"/>
      <c r="T7" s="38"/>
      <c r="U7" s="44" t="str">
        <f t="shared" si="1"/>
        <v>Pass</v>
      </c>
      <c r="V7" s="28" t="str">
        <f t="shared" si="2"/>
        <v>Pass</v>
      </c>
      <c r="W7" s="28" t="str">
        <f t="shared" si="3"/>
        <v>Pass</v>
      </c>
      <c r="X7" s="28" t="str">
        <f t="shared" si="4"/>
        <v>Pass</v>
      </c>
      <c r="Y7" s="28" t="str">
        <f t="shared" si="5"/>
        <v>Pass</v>
      </c>
      <c r="Z7" s="29"/>
    </row>
    <row r="8" spans="1:29" x14ac:dyDescent="0.35">
      <c r="B8" s="35" t="s">
        <v>193</v>
      </c>
      <c r="C8" s="35" t="s">
        <v>193</v>
      </c>
      <c r="D8" s="35"/>
      <c r="E8" s="35" t="s">
        <v>197</v>
      </c>
      <c r="F8" s="35"/>
      <c r="G8" s="35" t="s">
        <v>121</v>
      </c>
      <c r="H8" s="35" t="s">
        <v>122</v>
      </c>
      <c r="I8" s="35"/>
      <c r="J8" s="36">
        <v>5.43</v>
      </c>
      <c r="K8" s="36">
        <v>3.34</v>
      </c>
      <c r="L8" s="36">
        <v>67</v>
      </c>
      <c r="M8" s="36">
        <v>82</v>
      </c>
      <c r="N8" s="39">
        <v>40</v>
      </c>
      <c r="O8" s="35">
        <v>524</v>
      </c>
      <c r="P8" s="35">
        <v>431</v>
      </c>
      <c r="Q8" s="40">
        <f t="shared" si="0"/>
        <v>5.96</v>
      </c>
      <c r="R8" s="38">
        <f t="shared" si="6"/>
        <v>3.7</v>
      </c>
      <c r="S8" s="38"/>
      <c r="T8" s="38"/>
      <c r="U8" s="44" t="str">
        <f t="shared" si="1"/>
        <v>Pass</v>
      </c>
      <c r="V8" s="28" t="str">
        <f t="shared" si="2"/>
        <v>Pass</v>
      </c>
      <c r="W8" s="28" t="str">
        <f t="shared" si="3"/>
        <v>Pass</v>
      </c>
      <c r="X8" s="28" t="str">
        <f t="shared" si="4"/>
        <v>Pass</v>
      </c>
      <c r="Y8" s="28" t="str">
        <f t="shared" si="5"/>
        <v>Pass</v>
      </c>
      <c r="Z8" s="29"/>
    </row>
    <row r="9" spans="1:29" x14ac:dyDescent="0.35">
      <c r="A9" s="61"/>
      <c r="B9" s="31" t="s">
        <v>152</v>
      </c>
      <c r="C9" s="31" t="s">
        <v>152</v>
      </c>
      <c r="D9" s="31"/>
      <c r="E9" s="31" t="s">
        <v>55</v>
      </c>
      <c r="F9" s="31"/>
      <c r="G9" s="31" t="s">
        <v>121</v>
      </c>
      <c r="H9" s="31" t="s">
        <v>122</v>
      </c>
      <c r="I9" s="31" t="s">
        <v>6</v>
      </c>
      <c r="J9" s="32">
        <v>5.31</v>
      </c>
      <c r="K9" s="32">
        <v>1.69</v>
      </c>
      <c r="L9" s="32">
        <v>68</v>
      </c>
      <c r="M9" s="32">
        <v>84</v>
      </c>
      <c r="N9" s="43">
        <v>20</v>
      </c>
      <c r="O9" s="31">
        <v>296</v>
      </c>
      <c r="P9" s="31">
        <v>206</v>
      </c>
      <c r="Q9" s="40">
        <f t="shared" si="0"/>
        <v>3.3000000000000003</v>
      </c>
      <c r="R9" s="38">
        <f t="shared" si="6"/>
        <v>2</v>
      </c>
      <c r="S9" s="38"/>
      <c r="T9" s="38"/>
      <c r="U9" s="44" t="str">
        <f t="shared" si="1"/>
        <v>Fail</v>
      </c>
      <c r="V9" s="28" t="str">
        <f t="shared" si="2"/>
        <v>Fail</v>
      </c>
      <c r="W9" s="28" t="str">
        <f t="shared" si="3"/>
        <v>Pass</v>
      </c>
      <c r="X9" s="28" t="str">
        <f t="shared" si="4"/>
        <v>Pass</v>
      </c>
      <c r="Y9" s="28" t="str">
        <f t="shared" si="5"/>
        <v>Pass</v>
      </c>
      <c r="Z9" s="29">
        <v>1.4</v>
      </c>
    </row>
    <row r="10" spans="1:29" x14ac:dyDescent="0.35">
      <c r="A10" s="60"/>
      <c r="B10" s="31" t="s">
        <v>152</v>
      </c>
      <c r="C10" s="31" t="s">
        <v>152</v>
      </c>
      <c r="D10" s="31"/>
      <c r="E10" s="31" t="s">
        <v>198</v>
      </c>
      <c r="F10" s="31"/>
      <c r="G10" s="31" t="s">
        <v>121</v>
      </c>
      <c r="H10" s="31" t="s">
        <v>123</v>
      </c>
      <c r="I10" s="31" t="s">
        <v>6</v>
      </c>
      <c r="J10" s="32">
        <v>1.1299999999999999</v>
      </c>
      <c r="K10" s="32">
        <v>1.28</v>
      </c>
      <c r="L10" s="32">
        <v>66</v>
      </c>
      <c r="M10" s="32">
        <v>76</v>
      </c>
      <c r="N10" s="43">
        <v>12</v>
      </c>
      <c r="O10" s="31">
        <v>126</v>
      </c>
      <c r="P10" s="31">
        <v>99</v>
      </c>
      <c r="Q10" s="40">
        <f t="shared" si="0"/>
        <v>2.2360000000000002</v>
      </c>
      <c r="R10" s="38">
        <f t="shared" si="6"/>
        <v>1.32</v>
      </c>
      <c r="S10" s="38"/>
      <c r="T10" s="38"/>
      <c r="U10" s="44" t="str">
        <f t="shared" si="1"/>
        <v>Fail</v>
      </c>
      <c r="V10" s="28" t="str">
        <f t="shared" si="2"/>
        <v>Pass</v>
      </c>
      <c r="W10" s="28" t="str">
        <f t="shared" si="3"/>
        <v>Pass</v>
      </c>
      <c r="X10" s="28" t="str">
        <f t="shared" si="4"/>
        <v>Pass</v>
      </c>
      <c r="Y10" s="28" t="str">
        <f t="shared" si="5"/>
        <v>Fail</v>
      </c>
      <c r="Z10" s="29">
        <v>1.08</v>
      </c>
    </row>
    <row r="11" spans="1:29" x14ac:dyDescent="0.35">
      <c r="A11" s="60"/>
      <c r="B11" s="31" t="s">
        <v>152</v>
      </c>
      <c r="C11" s="31" t="s">
        <v>152</v>
      </c>
      <c r="D11" s="31"/>
      <c r="E11" s="31" t="s">
        <v>199</v>
      </c>
      <c r="F11" s="31"/>
      <c r="G11" s="31" t="s">
        <v>121</v>
      </c>
      <c r="H11" s="31" t="s">
        <v>123</v>
      </c>
      <c r="I11" s="31" t="s">
        <v>6</v>
      </c>
      <c r="J11" s="32">
        <v>1.1499999999999999</v>
      </c>
      <c r="K11" s="32">
        <v>1.3</v>
      </c>
      <c r="L11" s="32">
        <v>70</v>
      </c>
      <c r="M11" s="32">
        <v>76</v>
      </c>
      <c r="N11" s="43">
        <v>10</v>
      </c>
      <c r="O11" s="31">
        <v>109</v>
      </c>
      <c r="P11" s="31">
        <v>111</v>
      </c>
      <c r="Q11" s="40">
        <f t="shared" si="0"/>
        <v>1.9700000000000002</v>
      </c>
      <c r="R11" s="38">
        <f t="shared" si="6"/>
        <v>1.1500000000000001</v>
      </c>
      <c r="S11" s="38"/>
      <c r="T11" s="38"/>
      <c r="U11" s="44" t="str">
        <f t="shared" si="1"/>
        <v>Fail</v>
      </c>
      <c r="V11" s="28" t="str">
        <f t="shared" si="2"/>
        <v>Pass</v>
      </c>
      <c r="W11" s="28" t="str">
        <f t="shared" si="3"/>
        <v>Fail</v>
      </c>
      <c r="X11" s="28" t="str">
        <f t="shared" si="4"/>
        <v>Pass</v>
      </c>
      <c r="Y11" s="28" t="str">
        <f t="shared" si="5"/>
        <v>Fail</v>
      </c>
      <c r="Z11" s="29">
        <v>0.98</v>
      </c>
    </row>
    <row r="12" spans="1:29" x14ac:dyDescent="0.35">
      <c r="A12" s="60"/>
      <c r="B12" s="31" t="s">
        <v>152</v>
      </c>
      <c r="C12" s="31" t="s">
        <v>152</v>
      </c>
      <c r="D12" s="31"/>
      <c r="E12" s="31" t="s">
        <v>200</v>
      </c>
      <c r="F12" s="31"/>
      <c r="G12" s="31" t="s">
        <v>121</v>
      </c>
      <c r="H12" s="31" t="s">
        <v>122</v>
      </c>
      <c r="I12" s="31" t="s">
        <v>6</v>
      </c>
      <c r="J12" s="32">
        <v>1.81</v>
      </c>
      <c r="K12" s="32">
        <v>1.69</v>
      </c>
      <c r="L12" s="32">
        <v>68</v>
      </c>
      <c r="M12" s="32">
        <v>81</v>
      </c>
      <c r="N12" s="43">
        <v>20</v>
      </c>
      <c r="O12" s="31">
        <v>220</v>
      </c>
      <c r="P12" s="31">
        <v>200</v>
      </c>
      <c r="Q12" s="40">
        <f t="shared" si="0"/>
        <v>3.3000000000000003</v>
      </c>
      <c r="R12" s="38">
        <f t="shared" si="6"/>
        <v>2</v>
      </c>
      <c r="S12" s="38"/>
      <c r="T12" s="38"/>
      <c r="U12" s="44" t="str">
        <f t="shared" si="1"/>
        <v>Pass</v>
      </c>
      <c r="V12" s="28" t="str">
        <f t="shared" si="2"/>
        <v>Pass</v>
      </c>
      <c r="W12" s="28" t="str">
        <f t="shared" si="3"/>
        <v>Pass</v>
      </c>
      <c r="X12" s="28" t="str">
        <f t="shared" si="4"/>
        <v>Pass</v>
      </c>
      <c r="Y12" s="28" t="str">
        <f t="shared" si="5"/>
        <v>Pass</v>
      </c>
      <c r="Z12" s="29">
        <v>1.43</v>
      </c>
    </row>
    <row r="13" spans="1:29" x14ac:dyDescent="0.35">
      <c r="A13" s="60"/>
      <c r="B13" s="31" t="s">
        <v>152</v>
      </c>
      <c r="C13" s="31" t="s">
        <v>152</v>
      </c>
      <c r="D13" s="31"/>
      <c r="E13" s="31" t="s">
        <v>201</v>
      </c>
      <c r="F13" s="31"/>
      <c r="G13" s="31" t="s">
        <v>121</v>
      </c>
      <c r="H13" s="31" t="s">
        <v>123</v>
      </c>
      <c r="I13" s="31" t="s">
        <v>6</v>
      </c>
      <c r="J13" s="32">
        <v>0.98</v>
      </c>
      <c r="K13" s="32">
        <v>1.08</v>
      </c>
      <c r="L13" s="32">
        <v>51</v>
      </c>
      <c r="M13" s="32">
        <v>73</v>
      </c>
      <c r="N13" s="33">
        <v>6</v>
      </c>
      <c r="O13" s="31">
        <v>54</v>
      </c>
      <c r="P13" s="31">
        <v>61</v>
      </c>
      <c r="Q13" s="40">
        <f t="shared" si="0"/>
        <v>1.4380000000000002</v>
      </c>
      <c r="R13" s="38">
        <f t="shared" si="6"/>
        <v>0.81</v>
      </c>
      <c r="S13" s="38"/>
      <c r="T13" s="38"/>
      <c r="U13" s="44" t="str">
        <f t="shared" si="1"/>
        <v>Fail</v>
      </c>
      <c r="V13" s="28" t="str">
        <f t="shared" si="2"/>
        <v>Pass</v>
      </c>
      <c r="W13" s="28" t="str">
        <f t="shared" si="3"/>
        <v>Fail</v>
      </c>
      <c r="X13" s="28" t="str">
        <f t="shared" si="4"/>
        <v>Fail</v>
      </c>
      <c r="Y13" s="28" t="str">
        <f t="shared" si="5"/>
        <v>Fail</v>
      </c>
      <c r="Z13" s="29">
        <v>0.93</v>
      </c>
    </row>
    <row r="14" spans="1:29" x14ac:dyDescent="0.35">
      <c r="A14" s="60"/>
      <c r="B14" s="31" t="s">
        <v>202</v>
      </c>
      <c r="C14" s="31" t="s">
        <v>202</v>
      </c>
      <c r="D14" s="31"/>
      <c r="E14" s="31" t="s">
        <v>203</v>
      </c>
      <c r="F14" s="31"/>
      <c r="G14" s="31" t="s">
        <v>121</v>
      </c>
      <c r="H14" s="31" t="s">
        <v>123</v>
      </c>
      <c r="I14" s="31" t="s">
        <v>6</v>
      </c>
      <c r="J14" s="32">
        <v>1.59</v>
      </c>
      <c r="K14" s="32">
        <v>0.74</v>
      </c>
      <c r="L14" s="32">
        <v>66</v>
      </c>
      <c r="M14" s="32">
        <v>78</v>
      </c>
      <c r="N14" s="33">
        <v>6</v>
      </c>
      <c r="O14" s="31">
        <v>100</v>
      </c>
      <c r="P14" s="31">
        <v>62</v>
      </c>
      <c r="Q14" s="40">
        <f t="shared" si="0"/>
        <v>1.4380000000000002</v>
      </c>
      <c r="R14" s="38">
        <f t="shared" si="6"/>
        <v>0.81</v>
      </c>
      <c r="S14" s="38"/>
      <c r="T14" s="38"/>
      <c r="U14" s="44" t="str">
        <f t="shared" si="1"/>
        <v>Fail</v>
      </c>
      <c r="V14" s="28" t="str">
        <f t="shared" si="2"/>
        <v>Fail</v>
      </c>
      <c r="W14" s="28" t="str">
        <f t="shared" si="3"/>
        <v>Pass</v>
      </c>
      <c r="X14" s="28" t="str">
        <f t="shared" si="4"/>
        <v>Pass</v>
      </c>
      <c r="Y14" s="28" t="str">
        <f t="shared" si="5"/>
        <v>Pass</v>
      </c>
      <c r="Z14" s="29"/>
    </row>
    <row r="15" spans="1:29" x14ac:dyDescent="0.35">
      <c r="A15" s="60"/>
      <c r="B15" s="35" t="s">
        <v>202</v>
      </c>
      <c r="C15" s="35" t="s">
        <v>202</v>
      </c>
      <c r="D15" s="35"/>
      <c r="E15" s="35" t="s">
        <v>369</v>
      </c>
      <c r="F15" s="35"/>
      <c r="G15" s="35" t="s">
        <v>121</v>
      </c>
      <c r="H15" s="35" t="s">
        <v>123</v>
      </c>
      <c r="I15" s="35" t="s">
        <v>6</v>
      </c>
      <c r="J15" s="36">
        <v>1.23</v>
      </c>
      <c r="K15" s="36">
        <v>0.68</v>
      </c>
      <c r="L15" s="36">
        <v>60.8</v>
      </c>
      <c r="M15" s="36">
        <v>73.400000000000006</v>
      </c>
      <c r="N15" s="62">
        <v>4</v>
      </c>
      <c r="O15" s="35">
        <v>65.5</v>
      </c>
      <c r="P15" s="35">
        <v>43.7</v>
      </c>
      <c r="Q15" s="40">
        <f t="shared" si="0"/>
        <v>1.1720000000000002</v>
      </c>
      <c r="R15" s="38">
        <f t="shared" si="6"/>
        <v>0.64</v>
      </c>
      <c r="S15" s="38"/>
      <c r="T15" s="38"/>
      <c r="U15" s="44" t="str">
        <f t="shared" si="1"/>
        <v>Fail</v>
      </c>
      <c r="V15" s="28" t="str">
        <f t="shared" si="2"/>
        <v>Fail</v>
      </c>
      <c r="W15" s="28" t="str">
        <f t="shared" si="3"/>
        <v>Fail</v>
      </c>
      <c r="X15" s="28" t="str">
        <f t="shared" si="4"/>
        <v>Pass</v>
      </c>
      <c r="Y15" s="28" t="str">
        <f t="shared" si="5"/>
        <v>Fail</v>
      </c>
      <c r="Z15" s="29"/>
    </row>
    <row r="16" spans="1:29" x14ac:dyDescent="0.35">
      <c r="A16" s="60"/>
      <c r="B16" s="35" t="s">
        <v>202</v>
      </c>
      <c r="C16" s="35" t="s">
        <v>202</v>
      </c>
      <c r="D16" s="35"/>
      <c r="E16" s="35" t="s">
        <v>370</v>
      </c>
      <c r="F16" s="35"/>
      <c r="G16" s="35" t="s">
        <v>121</v>
      </c>
      <c r="H16" s="35"/>
      <c r="I16" s="35" t="s">
        <v>6</v>
      </c>
      <c r="J16" s="36">
        <v>3.16</v>
      </c>
      <c r="K16" s="36">
        <v>0.91</v>
      </c>
      <c r="L16" s="36">
        <v>34</v>
      </c>
      <c r="M16" s="36">
        <v>72.2</v>
      </c>
      <c r="N16" s="62">
        <v>4</v>
      </c>
      <c r="O16" s="35">
        <v>47</v>
      </c>
      <c r="P16" s="35">
        <v>41</v>
      </c>
      <c r="Q16" s="40">
        <f t="shared" si="0"/>
        <v>1.1720000000000002</v>
      </c>
      <c r="R16" s="38">
        <f t="shared" si="6"/>
        <v>0.64</v>
      </c>
      <c r="S16" s="38"/>
      <c r="T16" s="38"/>
      <c r="U16" s="44" t="str">
        <f t="shared" si="1"/>
        <v>Fail</v>
      </c>
      <c r="V16" s="28" t="str">
        <f t="shared" ref="V16:V36" si="7">IF(J16&lt;=Q16, "Pass", "Fail")</f>
        <v>Fail</v>
      </c>
      <c r="W16" s="28" t="str">
        <f t="shared" ref="W16:W36" si="8">IF(K16&lt;=R16, "Pass", "Fail")</f>
        <v>Fail</v>
      </c>
      <c r="X16" s="28" t="str">
        <f t="shared" ref="X16:X36" si="9">IF(L16&gt;=$S$2, "Pass", "Fail")</f>
        <v>Fail</v>
      </c>
      <c r="Y16" s="28" t="str">
        <f t="shared" ref="Y16:Y36" si="10">IF(M16&gt;=$T$2, "Pass", "Fail")</f>
        <v>Fail</v>
      </c>
      <c r="Z16" s="29"/>
    </row>
    <row r="17" spans="1:28" x14ac:dyDescent="0.35">
      <c r="A17" s="60"/>
      <c r="B17" s="35" t="s">
        <v>202</v>
      </c>
      <c r="C17" s="35" t="s">
        <v>202</v>
      </c>
      <c r="D17" s="35"/>
      <c r="E17" s="35" t="s">
        <v>206</v>
      </c>
      <c r="F17" s="35"/>
      <c r="G17" s="35" t="s">
        <v>121</v>
      </c>
      <c r="H17" s="35"/>
      <c r="I17" s="35" t="s">
        <v>6</v>
      </c>
      <c r="J17" s="36">
        <v>5.05</v>
      </c>
      <c r="K17" s="36">
        <v>1.08</v>
      </c>
      <c r="L17" s="36">
        <v>31</v>
      </c>
      <c r="M17" s="36">
        <v>71</v>
      </c>
      <c r="N17" s="62">
        <v>5</v>
      </c>
      <c r="O17" s="35">
        <v>90</v>
      </c>
      <c r="P17" s="35">
        <v>52</v>
      </c>
      <c r="Q17" s="40">
        <f t="shared" si="0"/>
        <v>1.3050000000000002</v>
      </c>
      <c r="R17" s="38">
        <f t="shared" si="6"/>
        <v>0.72500000000000009</v>
      </c>
      <c r="S17" s="38"/>
      <c r="T17" s="38"/>
      <c r="U17" s="44" t="str">
        <f t="shared" si="1"/>
        <v>Fail</v>
      </c>
      <c r="V17" s="28" t="str">
        <f t="shared" si="7"/>
        <v>Fail</v>
      </c>
      <c r="W17" s="28" t="str">
        <f t="shared" si="8"/>
        <v>Fail</v>
      </c>
      <c r="X17" s="28" t="str">
        <f t="shared" si="9"/>
        <v>Fail</v>
      </c>
      <c r="Y17" s="28" t="str">
        <f t="shared" si="10"/>
        <v>Fail</v>
      </c>
      <c r="Z17" s="29"/>
    </row>
    <row r="18" spans="1:28" x14ac:dyDescent="0.35">
      <c r="A18" s="60"/>
      <c r="B18" s="35" t="s">
        <v>204</v>
      </c>
      <c r="C18" s="35" t="s">
        <v>204</v>
      </c>
      <c r="D18" s="35"/>
      <c r="E18" s="35" t="s">
        <v>205</v>
      </c>
      <c r="F18" s="35"/>
      <c r="G18" s="35" t="s">
        <v>121</v>
      </c>
      <c r="H18" s="35" t="s">
        <v>122</v>
      </c>
      <c r="I18" s="35" t="s">
        <v>6</v>
      </c>
      <c r="J18" s="36">
        <v>9.9</v>
      </c>
      <c r="K18" s="36">
        <v>1.55</v>
      </c>
      <c r="L18" s="36" t="e">
        <v>#N/A</v>
      </c>
      <c r="M18" s="36">
        <v>75</v>
      </c>
      <c r="N18" s="37">
        <v>16</v>
      </c>
      <c r="O18" s="36" t="e">
        <v>#N/A</v>
      </c>
      <c r="P18" s="35">
        <v>144</v>
      </c>
      <c r="Q18" s="40">
        <f t="shared" si="0"/>
        <v>2.7680000000000002</v>
      </c>
      <c r="R18" s="38">
        <f t="shared" si="6"/>
        <v>1.6600000000000001</v>
      </c>
      <c r="S18" s="38"/>
      <c r="T18" s="38"/>
      <c r="U18" s="44" t="e">
        <f t="shared" si="1"/>
        <v>#N/A</v>
      </c>
      <c r="V18" s="28" t="str">
        <f t="shared" si="7"/>
        <v>Fail</v>
      </c>
      <c r="W18" s="28" t="str">
        <f t="shared" si="8"/>
        <v>Pass</v>
      </c>
      <c r="X18" s="28" t="e">
        <f t="shared" si="9"/>
        <v>#N/A</v>
      </c>
      <c r="Y18" s="28" t="str">
        <f t="shared" si="10"/>
        <v>Fail</v>
      </c>
      <c r="Z18" s="29"/>
    </row>
    <row r="19" spans="1:28" x14ac:dyDescent="0.35">
      <c r="A19" s="60"/>
      <c r="B19" s="35" t="s">
        <v>204</v>
      </c>
      <c r="C19" s="35" t="s">
        <v>204</v>
      </c>
      <c r="D19" s="35"/>
      <c r="E19" s="35" t="s">
        <v>207</v>
      </c>
      <c r="F19" s="35"/>
      <c r="G19" s="35" t="s">
        <v>121</v>
      </c>
      <c r="H19" s="35" t="s">
        <v>122</v>
      </c>
      <c r="I19" s="35" t="s">
        <v>6</v>
      </c>
      <c r="J19" s="36">
        <v>26.4</v>
      </c>
      <c r="K19" s="36">
        <v>0.95</v>
      </c>
      <c r="L19" s="36">
        <v>42.7</v>
      </c>
      <c r="M19" s="36">
        <v>72.7</v>
      </c>
      <c r="N19" s="39">
        <v>14</v>
      </c>
      <c r="O19" s="35">
        <v>231.6</v>
      </c>
      <c r="P19" s="35">
        <v>128.6</v>
      </c>
      <c r="Q19" s="40">
        <f t="shared" si="0"/>
        <v>2.5020000000000002</v>
      </c>
      <c r="R19" s="38">
        <f t="shared" si="6"/>
        <v>1.4900000000000002</v>
      </c>
      <c r="S19" s="38"/>
      <c r="T19" s="38"/>
      <c r="U19" s="44" t="str">
        <f t="shared" si="1"/>
        <v>Fail</v>
      </c>
      <c r="V19" s="28" t="str">
        <f t="shared" si="7"/>
        <v>Fail</v>
      </c>
      <c r="W19" s="28" t="str">
        <f t="shared" si="8"/>
        <v>Pass</v>
      </c>
      <c r="X19" s="28" t="str">
        <f t="shared" si="9"/>
        <v>Fail</v>
      </c>
      <c r="Y19" s="28" t="str">
        <f t="shared" si="10"/>
        <v>Fail</v>
      </c>
      <c r="Z19" s="29"/>
    </row>
    <row r="20" spans="1:28" x14ac:dyDescent="0.35">
      <c r="A20" s="60"/>
      <c r="B20" s="35" t="s">
        <v>204</v>
      </c>
      <c r="C20" s="35" t="s">
        <v>204</v>
      </c>
      <c r="D20" s="35"/>
      <c r="E20" s="35" t="s">
        <v>208</v>
      </c>
      <c r="F20" s="35"/>
      <c r="G20" s="35" t="s">
        <v>121</v>
      </c>
      <c r="H20" s="35" t="s">
        <v>122</v>
      </c>
      <c r="I20" s="35" t="s">
        <v>6</v>
      </c>
      <c r="J20" s="36">
        <v>3.14</v>
      </c>
      <c r="K20" s="36">
        <v>2.2999999999999998</v>
      </c>
      <c r="L20" s="36">
        <v>60.1</v>
      </c>
      <c r="M20" s="36">
        <v>74.8</v>
      </c>
      <c r="N20" s="39">
        <v>14</v>
      </c>
      <c r="O20" s="35">
        <v>187.8</v>
      </c>
      <c r="P20" s="35">
        <v>132.9</v>
      </c>
      <c r="Q20" s="40">
        <f t="shared" si="0"/>
        <v>2.5020000000000002</v>
      </c>
      <c r="R20" s="38">
        <f t="shared" si="6"/>
        <v>1.4900000000000002</v>
      </c>
      <c r="S20" s="38"/>
      <c r="T20" s="38"/>
      <c r="U20" s="44" t="str">
        <f t="shared" si="1"/>
        <v>Fail</v>
      </c>
      <c r="V20" s="28" t="str">
        <f t="shared" si="7"/>
        <v>Fail</v>
      </c>
      <c r="W20" s="28" t="str">
        <f t="shared" si="8"/>
        <v>Fail</v>
      </c>
      <c r="X20" s="28" t="str">
        <f t="shared" si="9"/>
        <v>Pass</v>
      </c>
      <c r="Y20" s="28" t="str">
        <f t="shared" si="10"/>
        <v>Fail</v>
      </c>
      <c r="Z20" s="29"/>
    </row>
    <row r="21" spans="1:28" x14ac:dyDescent="0.35">
      <c r="A21" s="60"/>
      <c r="B21" s="35" t="s">
        <v>204</v>
      </c>
      <c r="C21" s="35" t="s">
        <v>204</v>
      </c>
      <c r="D21" s="35"/>
      <c r="E21" s="35" t="s">
        <v>209</v>
      </c>
      <c r="F21" s="35"/>
      <c r="G21" s="35" t="s">
        <v>121</v>
      </c>
      <c r="H21" s="35" t="s">
        <v>123</v>
      </c>
      <c r="I21" s="35" t="s">
        <v>6</v>
      </c>
      <c r="J21" s="36">
        <v>6.3</v>
      </c>
      <c r="K21" s="36">
        <v>1.3</v>
      </c>
      <c r="L21" s="36">
        <v>43</v>
      </c>
      <c r="M21" s="36">
        <v>72</v>
      </c>
      <c r="N21" s="39">
        <v>8</v>
      </c>
      <c r="O21" s="35">
        <v>149</v>
      </c>
      <c r="P21" s="35">
        <v>75</v>
      </c>
      <c r="Q21" s="40">
        <f t="shared" si="0"/>
        <v>1.7040000000000002</v>
      </c>
      <c r="R21" s="38">
        <f t="shared" si="6"/>
        <v>0.98</v>
      </c>
      <c r="S21" s="38"/>
      <c r="T21" s="38"/>
      <c r="U21" s="44" t="str">
        <f t="shared" si="1"/>
        <v>Fail</v>
      </c>
      <c r="V21" s="28" t="str">
        <f t="shared" si="7"/>
        <v>Fail</v>
      </c>
      <c r="W21" s="28" t="str">
        <f t="shared" si="8"/>
        <v>Fail</v>
      </c>
      <c r="X21" s="28" t="str">
        <f t="shared" si="9"/>
        <v>Fail</v>
      </c>
      <c r="Y21" s="28" t="str">
        <f t="shared" si="10"/>
        <v>Fail</v>
      </c>
      <c r="Z21" s="29"/>
    </row>
    <row r="22" spans="1:28" x14ac:dyDescent="0.35">
      <c r="A22" s="30">
        <v>2238455</v>
      </c>
      <c r="B22" s="30" t="s">
        <v>210</v>
      </c>
      <c r="C22" s="30" t="s">
        <v>211</v>
      </c>
      <c r="D22" s="30" t="s">
        <v>212</v>
      </c>
      <c r="E22" s="30" t="s">
        <v>212</v>
      </c>
      <c r="G22" s="30" t="s">
        <v>121</v>
      </c>
      <c r="H22" s="30" t="s">
        <v>122</v>
      </c>
      <c r="I22" s="30" t="s">
        <v>6</v>
      </c>
      <c r="J22" s="38">
        <v>1.85</v>
      </c>
      <c r="K22" s="38">
        <v>1.42</v>
      </c>
      <c r="L22" s="38">
        <v>61</v>
      </c>
      <c r="M22" s="38">
        <v>79</v>
      </c>
      <c r="N22" s="59">
        <v>14</v>
      </c>
      <c r="O22" s="30">
        <v>213.1</v>
      </c>
      <c r="P22" s="30">
        <v>145.19999999999999</v>
      </c>
      <c r="Q22" s="40">
        <f t="shared" si="0"/>
        <v>2.5020000000000002</v>
      </c>
      <c r="R22" s="38">
        <f t="shared" si="6"/>
        <v>1.4900000000000002</v>
      </c>
      <c r="S22" s="63"/>
      <c r="T22" s="63"/>
      <c r="U22" s="44" t="str">
        <f t="shared" si="1"/>
        <v>Pass</v>
      </c>
      <c r="V22" s="28" t="str">
        <f t="shared" si="7"/>
        <v>Pass</v>
      </c>
      <c r="W22" s="28" t="str">
        <f t="shared" si="8"/>
        <v>Pass</v>
      </c>
      <c r="X22" s="28" t="str">
        <f t="shared" si="9"/>
        <v>Pass</v>
      </c>
      <c r="Y22" s="28" t="str">
        <f t="shared" si="10"/>
        <v>Pass</v>
      </c>
      <c r="Z22" s="29">
        <v>1.46</v>
      </c>
    </row>
    <row r="23" spans="1:28" x14ac:dyDescent="0.35">
      <c r="A23" s="30">
        <v>2247633</v>
      </c>
      <c r="B23" s="30" t="s">
        <v>210</v>
      </c>
      <c r="C23" s="30" t="s">
        <v>211</v>
      </c>
      <c r="D23" s="30" t="s">
        <v>213</v>
      </c>
      <c r="E23" s="30" t="s">
        <v>213</v>
      </c>
      <c r="G23" s="30" t="s">
        <v>121</v>
      </c>
      <c r="H23" s="30" t="s">
        <v>122</v>
      </c>
      <c r="I23" s="30" t="s">
        <v>6</v>
      </c>
      <c r="J23" s="38">
        <v>1.41</v>
      </c>
      <c r="K23" s="38">
        <v>1.36</v>
      </c>
      <c r="L23" s="38">
        <v>70</v>
      </c>
      <c r="M23" s="38">
        <v>81</v>
      </c>
      <c r="N23" s="59">
        <v>14</v>
      </c>
      <c r="O23" s="30">
        <v>182.5</v>
      </c>
      <c r="P23" s="30">
        <v>139.1</v>
      </c>
      <c r="Q23" s="40">
        <f t="shared" si="0"/>
        <v>2.5020000000000002</v>
      </c>
      <c r="R23" s="38">
        <f t="shared" si="6"/>
        <v>1.4900000000000002</v>
      </c>
      <c r="S23" s="38"/>
      <c r="T23" s="38"/>
      <c r="U23" s="44" t="str">
        <f t="shared" si="1"/>
        <v>Pass</v>
      </c>
      <c r="V23" s="28" t="str">
        <f t="shared" si="7"/>
        <v>Pass</v>
      </c>
      <c r="W23" s="28" t="str">
        <f t="shared" si="8"/>
        <v>Pass</v>
      </c>
      <c r="X23" s="28" t="str">
        <f t="shared" si="9"/>
        <v>Pass</v>
      </c>
      <c r="Y23" s="28" t="str">
        <f t="shared" si="10"/>
        <v>Pass</v>
      </c>
      <c r="Z23" s="29">
        <v>1.05</v>
      </c>
    </row>
    <row r="24" spans="1:28" x14ac:dyDescent="0.35">
      <c r="A24" s="30">
        <v>2226578</v>
      </c>
      <c r="B24" s="30" t="s">
        <v>210</v>
      </c>
      <c r="C24" s="30" t="s">
        <v>211</v>
      </c>
      <c r="D24" s="30" t="s">
        <v>214</v>
      </c>
      <c r="E24" s="30" t="s">
        <v>214</v>
      </c>
      <c r="G24" s="30" t="s">
        <v>121</v>
      </c>
      <c r="H24" s="30" t="s">
        <v>123</v>
      </c>
      <c r="I24" s="30" t="s">
        <v>6</v>
      </c>
      <c r="J24" s="38">
        <v>0.71</v>
      </c>
      <c r="K24" s="38">
        <v>1.19</v>
      </c>
      <c r="L24" s="38">
        <v>72</v>
      </c>
      <c r="M24" s="38">
        <v>78</v>
      </c>
      <c r="N24" s="59">
        <v>10</v>
      </c>
      <c r="O24" s="30">
        <v>101.2</v>
      </c>
      <c r="P24" s="30">
        <v>104.4</v>
      </c>
      <c r="Q24" s="40">
        <f t="shared" si="0"/>
        <v>1.9700000000000002</v>
      </c>
      <c r="R24" s="38">
        <f t="shared" si="6"/>
        <v>1.1500000000000001</v>
      </c>
      <c r="S24" s="38"/>
      <c r="T24" s="38"/>
      <c r="U24" s="44" t="str">
        <f t="shared" si="1"/>
        <v>Fail</v>
      </c>
      <c r="V24" s="28" t="str">
        <f t="shared" si="7"/>
        <v>Pass</v>
      </c>
      <c r="W24" s="28" t="str">
        <f t="shared" si="8"/>
        <v>Fail</v>
      </c>
      <c r="X24" s="28" t="str">
        <f t="shared" si="9"/>
        <v>Pass</v>
      </c>
      <c r="Y24" s="28" t="str">
        <f t="shared" si="10"/>
        <v>Pass</v>
      </c>
      <c r="Z24" s="29">
        <v>0.97</v>
      </c>
    </row>
    <row r="25" spans="1:28" x14ac:dyDescent="0.35">
      <c r="A25" s="30">
        <v>2265954</v>
      </c>
      <c r="B25" s="30" t="s">
        <v>210</v>
      </c>
      <c r="C25" s="30" t="s">
        <v>211</v>
      </c>
      <c r="D25" s="30" t="s">
        <v>215</v>
      </c>
      <c r="E25" s="30" t="s">
        <v>215</v>
      </c>
      <c r="G25" s="30" t="s">
        <v>121</v>
      </c>
      <c r="H25" s="30" t="s">
        <v>122</v>
      </c>
      <c r="I25" s="30" t="s">
        <v>6</v>
      </c>
      <c r="J25" s="38">
        <v>2.52</v>
      </c>
      <c r="K25" s="38">
        <v>1.74</v>
      </c>
      <c r="L25" s="38">
        <v>65</v>
      </c>
      <c r="M25" s="38">
        <v>81</v>
      </c>
      <c r="N25" s="59">
        <v>20</v>
      </c>
      <c r="O25" s="30">
        <v>347.6</v>
      </c>
      <c r="P25" s="30">
        <v>215.5</v>
      </c>
      <c r="Q25" s="40">
        <f t="shared" si="0"/>
        <v>3.3000000000000003</v>
      </c>
      <c r="R25" s="38">
        <f t="shared" si="6"/>
        <v>2</v>
      </c>
      <c r="S25" s="38"/>
      <c r="T25" s="38"/>
      <c r="U25" s="44" t="str">
        <f t="shared" si="1"/>
        <v>Pass</v>
      </c>
      <c r="V25" s="28" t="str">
        <f t="shared" si="7"/>
        <v>Pass</v>
      </c>
      <c r="W25" s="28" t="str">
        <f t="shared" si="8"/>
        <v>Pass</v>
      </c>
      <c r="X25" s="28" t="str">
        <f t="shared" si="9"/>
        <v>Pass</v>
      </c>
      <c r="Y25" s="28" t="str">
        <f t="shared" si="10"/>
        <v>Pass</v>
      </c>
      <c r="Z25" s="29">
        <v>1.53</v>
      </c>
    </row>
    <row r="26" spans="1:28" x14ac:dyDescent="0.35">
      <c r="A26" s="56">
        <v>2253464</v>
      </c>
      <c r="B26" s="30" t="s">
        <v>210</v>
      </c>
      <c r="C26" s="30" t="s">
        <v>211</v>
      </c>
      <c r="D26" s="30" t="s">
        <v>57</v>
      </c>
      <c r="E26" s="30" t="s">
        <v>57</v>
      </c>
      <c r="G26" s="30" t="s">
        <v>121</v>
      </c>
      <c r="H26" s="30" t="s">
        <v>122</v>
      </c>
      <c r="I26" s="30" t="s">
        <v>6</v>
      </c>
      <c r="J26" s="38">
        <v>1.56</v>
      </c>
      <c r="K26" s="38">
        <v>1.68</v>
      </c>
      <c r="L26" s="38">
        <v>76</v>
      </c>
      <c r="M26" s="38">
        <v>83</v>
      </c>
      <c r="N26" s="59">
        <v>20</v>
      </c>
      <c r="O26" s="30">
        <v>336.5</v>
      </c>
      <c r="P26" s="30">
        <v>232</v>
      </c>
      <c r="Q26" s="40">
        <f t="shared" si="0"/>
        <v>3.3000000000000003</v>
      </c>
      <c r="R26" s="38">
        <f t="shared" si="6"/>
        <v>2</v>
      </c>
      <c r="S26" s="38"/>
      <c r="T26" s="38"/>
      <c r="U26" s="44" t="str">
        <f t="shared" si="1"/>
        <v>Pass</v>
      </c>
      <c r="V26" s="28" t="str">
        <f t="shared" si="7"/>
        <v>Pass</v>
      </c>
      <c r="W26" s="28" t="str">
        <f t="shared" si="8"/>
        <v>Pass</v>
      </c>
      <c r="X26" s="28" t="str">
        <f t="shared" si="9"/>
        <v>Pass</v>
      </c>
      <c r="Y26" s="28" t="str">
        <f t="shared" si="10"/>
        <v>Pass</v>
      </c>
      <c r="Z26" s="29">
        <v>1.49</v>
      </c>
    </row>
    <row r="27" spans="1:28" x14ac:dyDescent="0.35">
      <c r="A27" s="64" t="s">
        <v>217</v>
      </c>
      <c r="B27" s="35" t="s">
        <v>211</v>
      </c>
      <c r="C27" s="35" t="s">
        <v>211</v>
      </c>
      <c r="D27" s="35"/>
      <c r="E27" s="35" t="s">
        <v>218</v>
      </c>
      <c r="F27" s="35"/>
      <c r="G27" s="35" t="s">
        <v>121</v>
      </c>
      <c r="H27" s="35" t="s">
        <v>122</v>
      </c>
      <c r="I27" s="35"/>
      <c r="J27" s="36">
        <v>2.52</v>
      </c>
      <c r="K27" s="36">
        <v>1.74</v>
      </c>
      <c r="L27" s="36">
        <v>64</v>
      </c>
      <c r="M27" s="36">
        <v>81</v>
      </c>
      <c r="N27" s="39">
        <v>22</v>
      </c>
      <c r="O27" s="35">
        <v>348</v>
      </c>
      <c r="P27" s="35">
        <v>216</v>
      </c>
      <c r="Q27" s="40">
        <f t="shared" si="0"/>
        <v>3.5660000000000003</v>
      </c>
      <c r="R27" s="38">
        <f t="shared" si="6"/>
        <v>2.17</v>
      </c>
      <c r="S27" s="38"/>
      <c r="T27" s="38"/>
      <c r="U27" s="44" t="str">
        <f t="shared" si="1"/>
        <v>Pass</v>
      </c>
      <c r="V27" s="28" t="str">
        <f t="shared" si="7"/>
        <v>Pass</v>
      </c>
      <c r="W27" s="28" t="str">
        <f t="shared" si="8"/>
        <v>Pass</v>
      </c>
      <c r="X27" s="28" t="str">
        <f t="shared" si="9"/>
        <v>Pass</v>
      </c>
      <c r="Y27" s="28" t="str">
        <f t="shared" si="10"/>
        <v>Pass</v>
      </c>
      <c r="Z27" s="29">
        <f>AVERAGE(AA27,AB27)</f>
        <v>1.5899999999999999</v>
      </c>
      <c r="AA27" s="30">
        <v>1.65</v>
      </c>
      <c r="AB27" s="30">
        <v>1.53</v>
      </c>
    </row>
    <row r="28" spans="1:28" x14ac:dyDescent="0.35">
      <c r="A28" s="64" t="s">
        <v>217</v>
      </c>
      <c r="B28" s="35" t="s">
        <v>211</v>
      </c>
      <c r="C28" s="35" t="s">
        <v>211</v>
      </c>
      <c r="D28" s="35"/>
      <c r="E28" s="35" t="s">
        <v>219</v>
      </c>
      <c r="F28" s="35"/>
      <c r="G28" s="35" t="s">
        <v>121</v>
      </c>
      <c r="H28" s="35" t="s">
        <v>122</v>
      </c>
      <c r="I28" s="35"/>
      <c r="J28" s="36">
        <v>1.56</v>
      </c>
      <c r="K28" s="36">
        <v>1.68</v>
      </c>
      <c r="L28" s="36">
        <v>76</v>
      </c>
      <c r="M28" s="36">
        <v>83</v>
      </c>
      <c r="N28" s="39">
        <v>22</v>
      </c>
      <c r="O28" s="35">
        <v>337</v>
      </c>
      <c r="P28" s="35">
        <v>232</v>
      </c>
      <c r="Q28" s="40">
        <f t="shared" si="0"/>
        <v>3.5660000000000003</v>
      </c>
      <c r="R28" s="38">
        <f t="shared" si="6"/>
        <v>2.17</v>
      </c>
      <c r="S28" s="38"/>
      <c r="T28" s="38"/>
      <c r="U28" s="44" t="str">
        <f t="shared" si="1"/>
        <v>Pass</v>
      </c>
      <c r="V28" s="28" t="str">
        <f t="shared" si="7"/>
        <v>Pass</v>
      </c>
      <c r="W28" s="28" t="str">
        <f t="shared" si="8"/>
        <v>Pass</v>
      </c>
      <c r="X28" s="28" t="str">
        <f t="shared" si="9"/>
        <v>Pass</v>
      </c>
      <c r="Y28" s="28" t="str">
        <f t="shared" si="10"/>
        <v>Pass</v>
      </c>
      <c r="Z28" s="29">
        <f>AVERAGE(AA28,AB28)</f>
        <v>1.1400000000000001</v>
      </c>
      <c r="AA28" s="30">
        <v>0.79</v>
      </c>
      <c r="AB28" s="30">
        <v>1.49</v>
      </c>
    </row>
    <row r="29" spans="1:28" x14ac:dyDescent="0.35">
      <c r="A29" s="60"/>
      <c r="B29" s="31" t="s">
        <v>211</v>
      </c>
      <c r="C29" s="31" t="s">
        <v>211</v>
      </c>
      <c r="D29" s="31"/>
      <c r="E29" s="31" t="s">
        <v>220</v>
      </c>
      <c r="F29" s="31"/>
      <c r="G29" s="31" t="s">
        <v>121</v>
      </c>
      <c r="H29" s="31" t="s">
        <v>123</v>
      </c>
      <c r="I29" s="31" t="s">
        <v>6</v>
      </c>
      <c r="J29" s="32">
        <v>2.6</v>
      </c>
      <c r="K29" s="32">
        <v>1.7</v>
      </c>
      <c r="L29" s="32">
        <v>64</v>
      </c>
      <c r="M29" s="32">
        <v>80</v>
      </c>
      <c r="N29" s="43">
        <v>20</v>
      </c>
      <c r="O29" s="31">
        <v>332</v>
      </c>
      <c r="P29" s="31">
        <v>200</v>
      </c>
      <c r="Q29" s="40">
        <f t="shared" si="0"/>
        <v>3.3000000000000003</v>
      </c>
      <c r="R29" s="38">
        <f t="shared" si="6"/>
        <v>2</v>
      </c>
      <c r="S29" s="38"/>
      <c r="T29" s="38"/>
      <c r="U29" s="44" t="str">
        <f t="shared" si="1"/>
        <v>Pass</v>
      </c>
      <c r="V29" s="28" t="str">
        <f t="shared" si="7"/>
        <v>Pass</v>
      </c>
      <c r="W29" s="28" t="str">
        <f t="shared" si="8"/>
        <v>Pass</v>
      </c>
      <c r="X29" s="28" t="str">
        <f t="shared" si="9"/>
        <v>Pass</v>
      </c>
      <c r="Y29" s="28" t="str">
        <f t="shared" si="10"/>
        <v>Pass</v>
      </c>
      <c r="Z29" s="29">
        <v>2.2999999999999998</v>
      </c>
    </row>
    <row r="30" spans="1:28" x14ac:dyDescent="0.35">
      <c r="A30" s="60"/>
      <c r="B30" s="31" t="s">
        <v>211</v>
      </c>
      <c r="C30" s="31" t="s">
        <v>211</v>
      </c>
      <c r="D30" s="31"/>
      <c r="E30" s="31" t="s">
        <v>221</v>
      </c>
      <c r="F30" s="31"/>
      <c r="G30" s="31" t="s">
        <v>121</v>
      </c>
      <c r="H30" s="31" t="s">
        <v>123</v>
      </c>
      <c r="I30" s="31" t="s">
        <v>6</v>
      </c>
      <c r="J30" s="32">
        <v>2.0299999999999998</v>
      </c>
      <c r="K30" s="32">
        <v>1.59</v>
      </c>
      <c r="L30" s="32">
        <v>59</v>
      </c>
      <c r="M30" s="32">
        <v>83</v>
      </c>
      <c r="N30" s="43">
        <v>14</v>
      </c>
      <c r="O30" s="31">
        <v>226</v>
      </c>
      <c r="P30" s="31">
        <v>151</v>
      </c>
      <c r="Q30" s="40">
        <f t="shared" si="0"/>
        <v>2.5020000000000002</v>
      </c>
      <c r="R30" s="38">
        <f t="shared" si="6"/>
        <v>1.4900000000000002</v>
      </c>
      <c r="S30" s="38"/>
      <c r="T30" s="38"/>
      <c r="U30" s="44" t="str">
        <f t="shared" si="1"/>
        <v>Fail</v>
      </c>
      <c r="V30" s="28" t="str">
        <f t="shared" si="7"/>
        <v>Pass</v>
      </c>
      <c r="W30" s="28" t="str">
        <f t="shared" si="8"/>
        <v>Fail</v>
      </c>
      <c r="X30" s="28" t="str">
        <f t="shared" si="9"/>
        <v>Pass</v>
      </c>
      <c r="Y30" s="28" t="str">
        <f t="shared" si="10"/>
        <v>Pass</v>
      </c>
      <c r="Z30" s="29">
        <v>0.89</v>
      </c>
    </row>
    <row r="31" spans="1:28" x14ac:dyDescent="0.35">
      <c r="A31" s="60"/>
      <c r="B31" s="31" t="s">
        <v>211</v>
      </c>
      <c r="C31" s="31" t="s">
        <v>211</v>
      </c>
      <c r="D31" s="31"/>
      <c r="E31" s="31" t="s">
        <v>216</v>
      </c>
      <c r="F31" s="31"/>
      <c r="G31" s="31" t="s">
        <v>121</v>
      </c>
      <c r="H31" s="31" t="s">
        <v>123</v>
      </c>
      <c r="I31" s="31" t="s">
        <v>6</v>
      </c>
      <c r="J31" s="32">
        <v>1.19</v>
      </c>
      <c r="K31" s="32">
        <v>0.73</v>
      </c>
      <c r="L31" s="32">
        <v>65</v>
      </c>
      <c r="M31" s="32">
        <v>75</v>
      </c>
      <c r="N31" s="33">
        <v>5</v>
      </c>
      <c r="O31" s="31">
        <v>80</v>
      </c>
      <c r="P31" s="31">
        <v>50</v>
      </c>
      <c r="Q31" s="40">
        <f t="shared" si="0"/>
        <v>1.3050000000000002</v>
      </c>
      <c r="R31" s="38">
        <f t="shared" si="6"/>
        <v>0.72500000000000009</v>
      </c>
      <c r="S31" s="38"/>
      <c r="T31" s="38"/>
      <c r="U31" s="44" t="str">
        <f t="shared" si="1"/>
        <v>Fail</v>
      </c>
      <c r="V31" s="28" t="str">
        <f t="shared" si="7"/>
        <v>Pass</v>
      </c>
      <c r="W31" s="28" t="str">
        <f t="shared" si="8"/>
        <v>Fail</v>
      </c>
      <c r="X31" s="28" t="str">
        <f t="shared" si="9"/>
        <v>Pass</v>
      </c>
      <c r="Y31" s="28" t="str">
        <f t="shared" si="10"/>
        <v>Fail</v>
      </c>
      <c r="Z31" s="29">
        <v>0.54</v>
      </c>
    </row>
    <row r="32" spans="1:28" x14ac:dyDescent="0.35">
      <c r="A32" s="60"/>
      <c r="B32" s="35" t="s">
        <v>211</v>
      </c>
      <c r="C32" s="35" t="s">
        <v>211</v>
      </c>
      <c r="D32" s="35"/>
      <c r="E32" s="35" t="s">
        <v>371</v>
      </c>
      <c r="F32" s="35"/>
      <c r="G32" s="35" t="s">
        <v>121</v>
      </c>
      <c r="H32" s="35"/>
      <c r="I32" s="35" t="s">
        <v>6</v>
      </c>
      <c r="J32" s="36">
        <v>1.1000000000000001</v>
      </c>
      <c r="K32" s="36">
        <v>0.6</v>
      </c>
      <c r="L32" s="36">
        <v>57.9</v>
      </c>
      <c r="M32" s="36"/>
      <c r="N32" s="62">
        <v>3</v>
      </c>
      <c r="O32" s="35">
        <v>49.9</v>
      </c>
      <c r="P32" s="35" t="s">
        <v>20</v>
      </c>
      <c r="Q32" s="40">
        <f t="shared" ref="Q32:Q33" si="11">0.133*N32+0.64</f>
        <v>1.0390000000000001</v>
      </c>
      <c r="R32" s="38">
        <f t="shared" si="6"/>
        <v>0.55499999999999994</v>
      </c>
      <c r="S32" s="38"/>
      <c r="T32" s="38"/>
      <c r="U32" s="44" t="str">
        <f t="shared" si="1"/>
        <v>Fail</v>
      </c>
      <c r="V32" s="28" t="str">
        <f t="shared" si="7"/>
        <v>Fail</v>
      </c>
      <c r="W32" s="28" t="str">
        <f t="shared" si="8"/>
        <v>Fail</v>
      </c>
      <c r="X32" s="28" t="str">
        <f t="shared" si="9"/>
        <v>Fail</v>
      </c>
      <c r="Y32" s="28" t="str">
        <f t="shared" si="10"/>
        <v>Fail</v>
      </c>
      <c r="Z32" s="29"/>
    </row>
    <row r="33" spans="1:30" x14ac:dyDescent="0.35">
      <c r="A33" s="60"/>
      <c r="B33" s="35" t="s">
        <v>211</v>
      </c>
      <c r="C33" s="35" t="s">
        <v>211</v>
      </c>
      <c r="D33" s="35"/>
      <c r="E33" s="35" t="s">
        <v>372</v>
      </c>
      <c r="F33" s="35"/>
      <c r="G33" s="35" t="s">
        <v>121</v>
      </c>
      <c r="H33" s="35"/>
      <c r="I33" s="35" t="s">
        <v>6</v>
      </c>
      <c r="J33" s="36">
        <v>0.89</v>
      </c>
      <c r="K33" s="36">
        <v>0.61</v>
      </c>
      <c r="L33" s="36">
        <v>69.099999999999994</v>
      </c>
      <c r="M33" s="36">
        <v>81</v>
      </c>
      <c r="N33" s="62">
        <v>4</v>
      </c>
      <c r="O33" s="35">
        <v>61</v>
      </c>
      <c r="P33" s="35">
        <v>44.3</v>
      </c>
      <c r="Q33" s="40">
        <f t="shared" si="11"/>
        <v>1.1720000000000002</v>
      </c>
      <c r="R33" s="38">
        <f t="shared" si="6"/>
        <v>0.64</v>
      </c>
      <c r="S33" s="38"/>
      <c r="T33" s="38"/>
      <c r="U33" s="44" t="str">
        <f t="shared" si="1"/>
        <v>Pass</v>
      </c>
      <c r="V33" s="28" t="str">
        <f t="shared" si="7"/>
        <v>Pass</v>
      </c>
      <c r="W33" s="28" t="str">
        <f t="shared" si="8"/>
        <v>Pass</v>
      </c>
      <c r="X33" s="28" t="str">
        <f t="shared" si="9"/>
        <v>Pass</v>
      </c>
      <c r="Y33" s="28" t="str">
        <f t="shared" si="10"/>
        <v>Pass</v>
      </c>
      <c r="Z33" s="29"/>
      <c r="AC33" s="30">
        <v>7661</v>
      </c>
      <c r="AD33" s="30" t="s">
        <v>395</v>
      </c>
    </row>
    <row r="34" spans="1:30" x14ac:dyDescent="0.35">
      <c r="A34" s="30">
        <v>2341514</v>
      </c>
      <c r="B34" s="30" t="s">
        <v>222</v>
      </c>
      <c r="C34" s="30" t="s">
        <v>223</v>
      </c>
      <c r="D34" s="30" t="s">
        <v>224</v>
      </c>
      <c r="E34" s="30" t="s">
        <v>224</v>
      </c>
      <c r="F34" s="30" t="s">
        <v>225</v>
      </c>
      <c r="G34" s="30" t="s">
        <v>121</v>
      </c>
      <c r="H34" s="30" t="s">
        <v>123</v>
      </c>
      <c r="I34" s="30" t="s">
        <v>6</v>
      </c>
      <c r="J34" s="38">
        <v>0.95</v>
      </c>
      <c r="K34" s="38">
        <v>0.97</v>
      </c>
      <c r="L34" s="38">
        <v>58</v>
      </c>
      <c r="M34" s="38">
        <v>78</v>
      </c>
      <c r="N34" s="59">
        <v>10</v>
      </c>
      <c r="O34" s="30">
        <v>188.31</v>
      </c>
      <c r="P34" s="30">
        <f>P2/P31</f>
        <v>2.3639999999999999</v>
      </c>
      <c r="Q34" s="40">
        <f t="shared" si="0"/>
        <v>1.9700000000000002</v>
      </c>
      <c r="R34" s="38">
        <f t="shared" si="6"/>
        <v>1.1500000000000001</v>
      </c>
      <c r="S34" s="38"/>
      <c r="T34" s="38"/>
      <c r="U34" s="44" t="str">
        <f t="shared" si="1"/>
        <v>Fail</v>
      </c>
      <c r="V34" s="28" t="str">
        <f t="shared" si="7"/>
        <v>Pass</v>
      </c>
      <c r="W34" s="28" t="str">
        <f t="shared" si="8"/>
        <v>Pass</v>
      </c>
      <c r="X34" s="28" t="str">
        <f t="shared" si="9"/>
        <v>Fail</v>
      </c>
      <c r="Y34" s="28" t="str">
        <f t="shared" si="10"/>
        <v>Pass</v>
      </c>
      <c r="Z34" s="29"/>
    </row>
    <row r="35" spans="1:30" x14ac:dyDescent="0.35">
      <c r="A35" s="30">
        <v>2349743</v>
      </c>
      <c r="B35" s="30" t="s">
        <v>222</v>
      </c>
      <c r="C35" s="30" t="s">
        <v>223</v>
      </c>
      <c r="D35" s="30" t="s">
        <v>226</v>
      </c>
      <c r="E35" s="30" t="s">
        <v>226</v>
      </c>
      <c r="F35" s="30" t="s">
        <v>227</v>
      </c>
      <c r="G35" s="30" t="s">
        <v>121</v>
      </c>
      <c r="H35" s="30" t="s">
        <v>122</v>
      </c>
      <c r="I35" s="30" t="s">
        <v>6</v>
      </c>
      <c r="J35" s="38">
        <v>1.94</v>
      </c>
      <c r="K35" s="38">
        <v>1.32</v>
      </c>
      <c r="L35" s="38">
        <v>63</v>
      </c>
      <c r="M35" s="38">
        <v>85</v>
      </c>
      <c r="N35" s="59">
        <v>10</v>
      </c>
      <c r="O35" s="30">
        <v>400.7</v>
      </c>
      <c r="P35" s="30">
        <v>188.26</v>
      </c>
      <c r="Q35" s="40">
        <f t="shared" si="0"/>
        <v>1.9700000000000002</v>
      </c>
      <c r="R35" s="38">
        <f t="shared" si="6"/>
        <v>1.1500000000000001</v>
      </c>
      <c r="S35" s="38"/>
      <c r="T35" s="38"/>
      <c r="U35" s="44" t="str">
        <f t="shared" si="1"/>
        <v>Fail</v>
      </c>
      <c r="V35" s="28" t="str">
        <f t="shared" si="7"/>
        <v>Pass</v>
      </c>
      <c r="W35" s="28" t="str">
        <f t="shared" si="8"/>
        <v>Fail</v>
      </c>
      <c r="X35" s="28" t="str">
        <f t="shared" si="9"/>
        <v>Pass</v>
      </c>
      <c r="Y35" s="28" t="str">
        <f t="shared" si="10"/>
        <v>Pass</v>
      </c>
      <c r="Z35" s="29"/>
    </row>
    <row r="36" spans="1:30" x14ac:dyDescent="0.35">
      <c r="A36" s="30">
        <v>2341560</v>
      </c>
      <c r="B36" s="30" t="s">
        <v>222</v>
      </c>
      <c r="C36" s="30" t="s">
        <v>223</v>
      </c>
      <c r="D36" s="30" t="s">
        <v>228</v>
      </c>
      <c r="E36" s="30" t="s">
        <v>228</v>
      </c>
      <c r="F36" s="30" t="s">
        <v>229</v>
      </c>
      <c r="G36" s="30" t="s">
        <v>121</v>
      </c>
      <c r="H36" s="30" t="s">
        <v>123</v>
      </c>
      <c r="I36" s="30" t="s">
        <v>6</v>
      </c>
      <c r="J36" s="38">
        <v>0.9</v>
      </c>
      <c r="K36" s="38">
        <v>0.74</v>
      </c>
      <c r="L36" s="38">
        <v>56</v>
      </c>
      <c r="M36" s="38">
        <v>77</v>
      </c>
      <c r="N36" s="59">
        <v>6</v>
      </c>
      <c r="O36" s="30">
        <v>97.26</v>
      </c>
      <c r="P36" s="30">
        <v>65.930000000000007</v>
      </c>
      <c r="Q36" s="40">
        <f t="shared" si="0"/>
        <v>1.4380000000000002</v>
      </c>
      <c r="R36" s="38">
        <f t="shared" si="6"/>
        <v>0.81</v>
      </c>
      <c r="S36" s="38"/>
      <c r="T36" s="38"/>
      <c r="U36" s="44" t="str">
        <f t="shared" si="1"/>
        <v>Fail</v>
      </c>
      <c r="V36" s="28" t="str">
        <f t="shared" si="7"/>
        <v>Pass</v>
      </c>
      <c r="W36" s="28" t="str">
        <f t="shared" si="8"/>
        <v>Pass</v>
      </c>
      <c r="X36" s="28" t="str">
        <f t="shared" si="9"/>
        <v>Fail</v>
      </c>
      <c r="Y36" s="28" t="str">
        <f t="shared" si="10"/>
        <v>Fail</v>
      </c>
      <c r="Z36" s="29"/>
    </row>
    <row r="37" spans="1:30" x14ac:dyDescent="0.35">
      <c r="A37" s="30">
        <v>2349744</v>
      </c>
      <c r="B37" s="30" t="s">
        <v>222</v>
      </c>
      <c r="C37" s="30" t="s">
        <v>223</v>
      </c>
      <c r="D37" s="30" t="s">
        <v>230</v>
      </c>
      <c r="E37" s="30" t="s">
        <v>230</v>
      </c>
      <c r="F37" s="30" t="s">
        <v>231</v>
      </c>
      <c r="G37" s="30" t="s">
        <v>121</v>
      </c>
      <c r="H37" s="30" t="s">
        <v>122</v>
      </c>
      <c r="I37" s="30" t="s">
        <v>6</v>
      </c>
      <c r="J37" s="38">
        <v>1.42</v>
      </c>
      <c r="K37" s="38">
        <v>1.1200000000000001</v>
      </c>
      <c r="L37" s="38">
        <v>61</v>
      </c>
      <c r="M37" s="38">
        <v>86</v>
      </c>
      <c r="N37" s="59">
        <v>6</v>
      </c>
      <c r="O37" s="30">
        <v>239.17</v>
      </c>
      <c r="P37" s="30">
        <v>118.04</v>
      </c>
      <c r="Q37" s="40">
        <f t="shared" si="0"/>
        <v>1.4380000000000002</v>
      </c>
      <c r="R37" s="38">
        <f t="shared" si="6"/>
        <v>0.81</v>
      </c>
      <c r="S37" s="38"/>
      <c r="T37" s="38"/>
      <c r="U37" s="44" t="str">
        <f t="shared" si="1"/>
        <v>Fail</v>
      </c>
      <c r="V37" s="28" t="str">
        <f t="shared" ref="V37:V71" si="12">IF(J37&lt;=Q37, "Pass", "Fail")</f>
        <v>Pass</v>
      </c>
      <c r="W37" s="28" t="str">
        <f t="shared" ref="W37:W71" si="13">IF(K37&lt;=R37, "Pass", "Fail")</f>
        <v>Fail</v>
      </c>
      <c r="X37" s="28" t="str">
        <f t="shared" ref="X37:X71" si="14">IF(L37&gt;=$S$2, "Pass", "Fail")</f>
        <v>Pass</v>
      </c>
      <c r="Y37" s="28" t="str">
        <f t="shared" ref="Y37:Y71" si="15">IF(M37&gt;=$T$2, "Pass", "Fail")</f>
        <v>Pass</v>
      </c>
      <c r="Z37" s="29"/>
    </row>
    <row r="38" spans="1:30" x14ac:dyDescent="0.35">
      <c r="A38" s="64" t="s">
        <v>217</v>
      </c>
      <c r="B38" s="35" t="s">
        <v>232</v>
      </c>
      <c r="C38" s="35" t="s">
        <v>232</v>
      </c>
      <c r="D38" s="35"/>
      <c r="E38" s="35" t="s">
        <v>233</v>
      </c>
      <c r="F38" s="35"/>
      <c r="G38" s="35" t="s">
        <v>121</v>
      </c>
      <c r="H38" s="35" t="s">
        <v>122</v>
      </c>
      <c r="I38" s="35" t="s">
        <v>6</v>
      </c>
      <c r="J38" s="36">
        <v>3.55</v>
      </c>
      <c r="K38" s="36">
        <v>2.0099999999999998</v>
      </c>
      <c r="L38" s="36">
        <v>67</v>
      </c>
      <c r="M38" s="36">
        <v>78</v>
      </c>
      <c r="N38" s="39">
        <v>24</v>
      </c>
      <c r="O38" s="35">
        <v>313</v>
      </c>
      <c r="P38" s="35">
        <v>203</v>
      </c>
      <c r="Q38" s="40">
        <f t="shared" si="0"/>
        <v>3.8320000000000003</v>
      </c>
      <c r="R38" s="38">
        <f t="shared" si="6"/>
        <v>2.34</v>
      </c>
      <c r="S38" s="38"/>
      <c r="T38" s="38"/>
      <c r="U38" s="44" t="str">
        <f t="shared" si="1"/>
        <v>Pass</v>
      </c>
      <c r="V38" s="28" t="str">
        <f t="shared" si="12"/>
        <v>Pass</v>
      </c>
      <c r="W38" s="28" t="str">
        <f t="shared" si="13"/>
        <v>Pass</v>
      </c>
      <c r="X38" s="28" t="str">
        <f t="shared" si="14"/>
        <v>Pass</v>
      </c>
      <c r="Y38" s="28" t="str">
        <f t="shared" si="15"/>
        <v>Pass</v>
      </c>
      <c r="Z38" s="29">
        <f>AVERAGE(AA38,AB38)</f>
        <v>2.2400000000000002</v>
      </c>
      <c r="AA38" s="30">
        <v>1.87</v>
      </c>
      <c r="AB38" s="30">
        <v>2.61</v>
      </c>
    </row>
    <row r="39" spans="1:30" x14ac:dyDescent="0.35">
      <c r="A39" s="64"/>
      <c r="B39" s="35" t="s">
        <v>232</v>
      </c>
      <c r="C39" s="35" t="s">
        <v>232</v>
      </c>
      <c r="D39" s="35"/>
      <c r="E39" s="35" t="s">
        <v>234</v>
      </c>
      <c r="F39" s="35"/>
      <c r="G39" s="35" t="s">
        <v>121</v>
      </c>
      <c r="H39" s="35"/>
      <c r="I39" s="35" t="s">
        <v>6</v>
      </c>
      <c r="J39" s="36">
        <v>2.4900000000000002</v>
      </c>
      <c r="K39" s="36">
        <v>1.65</v>
      </c>
      <c r="L39" s="36">
        <v>50.62</v>
      </c>
      <c r="M39" s="36">
        <v>63.67</v>
      </c>
      <c r="N39" s="39">
        <v>5</v>
      </c>
      <c r="O39" s="35">
        <v>98</v>
      </c>
      <c r="P39" s="35">
        <v>53.5</v>
      </c>
      <c r="Q39" s="40">
        <f t="shared" ref="Q39" si="16">0.133*N39+0.64</f>
        <v>1.3050000000000002</v>
      </c>
      <c r="R39" s="38">
        <f t="shared" si="6"/>
        <v>0.72500000000000009</v>
      </c>
      <c r="S39" s="38"/>
      <c r="T39" s="38"/>
      <c r="U39" s="44" t="str">
        <f t="shared" si="1"/>
        <v>Fail</v>
      </c>
      <c r="V39" s="28" t="str">
        <f t="shared" si="12"/>
        <v>Fail</v>
      </c>
      <c r="W39" s="28" t="str">
        <f t="shared" si="13"/>
        <v>Fail</v>
      </c>
      <c r="X39" s="28" t="str">
        <f t="shared" si="14"/>
        <v>Fail</v>
      </c>
      <c r="Y39" s="28" t="str">
        <f t="shared" si="15"/>
        <v>Fail</v>
      </c>
      <c r="Z39" s="29"/>
      <c r="AC39" s="30">
        <v>7500</v>
      </c>
    </row>
    <row r="40" spans="1:30" x14ac:dyDescent="0.35">
      <c r="A40" s="64" t="s">
        <v>217</v>
      </c>
      <c r="B40" s="35" t="s">
        <v>232</v>
      </c>
      <c r="C40" s="35" t="s">
        <v>232</v>
      </c>
      <c r="D40" s="35"/>
      <c r="E40" s="35" t="s">
        <v>235</v>
      </c>
      <c r="F40" s="35"/>
      <c r="G40" s="35" t="s">
        <v>121</v>
      </c>
      <c r="H40" s="35" t="s">
        <v>122</v>
      </c>
      <c r="I40" s="35" t="s">
        <v>6</v>
      </c>
      <c r="J40" s="36">
        <v>8.8000000000000007</v>
      </c>
      <c r="K40" s="36">
        <v>3.73</v>
      </c>
      <c r="L40" s="36">
        <v>61</v>
      </c>
      <c r="M40" s="36">
        <v>76</v>
      </c>
      <c r="N40" s="62">
        <v>40</v>
      </c>
      <c r="O40" s="35">
        <v>478</v>
      </c>
      <c r="P40" s="35">
        <v>314</v>
      </c>
      <c r="Q40" s="40">
        <f t="shared" si="0"/>
        <v>5.96</v>
      </c>
      <c r="R40" s="38">
        <f t="shared" si="6"/>
        <v>3.7</v>
      </c>
      <c r="S40" s="38"/>
      <c r="T40" s="38"/>
      <c r="U40" s="44" t="str">
        <f t="shared" si="1"/>
        <v>Fail</v>
      </c>
      <c r="V40" s="28" t="str">
        <f t="shared" si="12"/>
        <v>Fail</v>
      </c>
      <c r="W40" s="28" t="str">
        <f t="shared" si="13"/>
        <v>Fail</v>
      </c>
      <c r="X40" s="28" t="str">
        <f t="shared" si="14"/>
        <v>Pass</v>
      </c>
      <c r="Y40" s="28" t="str">
        <f t="shared" si="15"/>
        <v>Fail</v>
      </c>
      <c r="Z40" s="29">
        <f>AVERAGE(AA40,AB40)</f>
        <v>3.2650000000000001</v>
      </c>
      <c r="AA40" s="30">
        <v>2.6</v>
      </c>
      <c r="AB40" s="30">
        <v>3.93</v>
      </c>
    </row>
    <row r="41" spans="1:30" x14ac:dyDescent="0.35">
      <c r="A41" s="64" t="s">
        <v>236</v>
      </c>
      <c r="B41" s="31" t="s">
        <v>237</v>
      </c>
      <c r="C41" s="31" t="s">
        <v>237</v>
      </c>
      <c r="D41" s="31" t="s">
        <v>238</v>
      </c>
      <c r="E41" s="31"/>
      <c r="F41" s="31"/>
      <c r="G41" s="31" t="s">
        <v>121</v>
      </c>
      <c r="H41" s="31" t="s">
        <v>123</v>
      </c>
      <c r="I41" s="31" t="s">
        <v>6</v>
      </c>
      <c r="J41" s="32">
        <v>0.98</v>
      </c>
      <c r="K41" s="32">
        <v>1.08</v>
      </c>
      <c r="L41" s="32">
        <v>51</v>
      </c>
      <c r="M41" s="32">
        <v>73</v>
      </c>
      <c r="N41" s="33">
        <v>6</v>
      </c>
      <c r="O41" s="31">
        <v>54</v>
      </c>
      <c r="P41" s="31">
        <v>61</v>
      </c>
      <c r="Q41" s="40">
        <f t="shared" ref="Q41:Q45" si="17">0.133*N41+0.64</f>
        <v>1.4380000000000002</v>
      </c>
      <c r="R41" s="38">
        <f t="shared" si="6"/>
        <v>0.81</v>
      </c>
      <c r="S41" s="38"/>
      <c r="T41" s="38"/>
      <c r="U41" s="44" t="str">
        <f t="shared" si="1"/>
        <v>Fail</v>
      </c>
      <c r="V41" s="28" t="str">
        <f t="shared" si="12"/>
        <v>Pass</v>
      </c>
      <c r="W41" s="28" t="str">
        <f t="shared" si="13"/>
        <v>Fail</v>
      </c>
      <c r="X41" s="28" t="str">
        <f t="shared" si="14"/>
        <v>Fail</v>
      </c>
      <c r="Y41" s="28" t="str">
        <f t="shared" si="15"/>
        <v>Fail</v>
      </c>
      <c r="Z41" s="29">
        <v>0.93</v>
      </c>
    </row>
    <row r="42" spans="1:30" x14ac:dyDescent="0.35">
      <c r="A42" s="64" t="s">
        <v>236</v>
      </c>
      <c r="B42" s="31" t="s">
        <v>237</v>
      </c>
      <c r="C42" s="31" t="s">
        <v>237</v>
      </c>
      <c r="D42" s="31" t="s">
        <v>239</v>
      </c>
      <c r="E42" s="31"/>
      <c r="F42" s="31"/>
      <c r="G42" s="31" t="s">
        <v>121</v>
      </c>
      <c r="H42" s="31"/>
      <c r="I42" s="31" t="s">
        <v>6</v>
      </c>
      <c r="J42" s="32">
        <v>1.1299999999999999</v>
      </c>
      <c r="K42" s="32">
        <v>1.28</v>
      </c>
      <c r="L42" s="32">
        <v>66</v>
      </c>
      <c r="M42" s="32">
        <v>76</v>
      </c>
      <c r="N42" s="33">
        <v>12</v>
      </c>
      <c r="O42" s="31">
        <v>126</v>
      </c>
      <c r="P42" s="31">
        <v>99</v>
      </c>
      <c r="Q42" s="40">
        <f t="shared" si="17"/>
        <v>2.2360000000000002</v>
      </c>
      <c r="R42" s="38">
        <f t="shared" si="6"/>
        <v>1.32</v>
      </c>
      <c r="S42" s="38"/>
      <c r="T42" s="38"/>
      <c r="U42" s="44" t="str">
        <f t="shared" si="1"/>
        <v>Fail</v>
      </c>
      <c r="V42" s="28" t="str">
        <f t="shared" si="12"/>
        <v>Pass</v>
      </c>
      <c r="W42" s="28" t="str">
        <f t="shared" si="13"/>
        <v>Pass</v>
      </c>
      <c r="X42" s="28" t="str">
        <f t="shared" si="14"/>
        <v>Pass</v>
      </c>
      <c r="Y42" s="28" t="str">
        <f t="shared" si="15"/>
        <v>Fail</v>
      </c>
      <c r="Z42" s="29">
        <v>1.08</v>
      </c>
    </row>
    <row r="43" spans="1:30" x14ac:dyDescent="0.35">
      <c r="A43" s="64" t="s">
        <v>236</v>
      </c>
      <c r="B43" s="31" t="s">
        <v>237</v>
      </c>
      <c r="C43" s="31" t="s">
        <v>237</v>
      </c>
      <c r="D43" s="31" t="s">
        <v>240</v>
      </c>
      <c r="E43" s="31"/>
      <c r="F43" s="31"/>
      <c r="G43" s="31" t="s">
        <v>121</v>
      </c>
      <c r="H43" s="31"/>
      <c r="I43" s="31" t="s">
        <v>6</v>
      </c>
      <c r="J43" s="32">
        <v>1.1499999999999999</v>
      </c>
      <c r="K43" s="32">
        <v>1.3</v>
      </c>
      <c r="L43" s="32">
        <v>70</v>
      </c>
      <c r="M43" s="32">
        <v>76</v>
      </c>
      <c r="N43" s="33">
        <v>10</v>
      </c>
      <c r="O43" s="31">
        <v>109</v>
      </c>
      <c r="P43" s="31">
        <v>111</v>
      </c>
      <c r="Q43" s="40">
        <f t="shared" si="17"/>
        <v>1.9700000000000002</v>
      </c>
      <c r="R43" s="38">
        <f t="shared" si="6"/>
        <v>1.1500000000000001</v>
      </c>
      <c r="S43" s="38"/>
      <c r="T43" s="38"/>
      <c r="U43" s="44" t="str">
        <f t="shared" si="1"/>
        <v>Fail</v>
      </c>
      <c r="V43" s="28" t="str">
        <f t="shared" si="12"/>
        <v>Pass</v>
      </c>
      <c r="W43" s="28" t="str">
        <f t="shared" si="13"/>
        <v>Fail</v>
      </c>
      <c r="X43" s="28" t="str">
        <f t="shared" si="14"/>
        <v>Pass</v>
      </c>
      <c r="Y43" s="28" t="str">
        <f t="shared" si="15"/>
        <v>Fail</v>
      </c>
      <c r="Z43" s="29">
        <v>0.98</v>
      </c>
    </row>
    <row r="44" spans="1:30" x14ac:dyDescent="0.35">
      <c r="A44" s="64" t="s">
        <v>236</v>
      </c>
      <c r="B44" s="31" t="s">
        <v>237</v>
      </c>
      <c r="C44" s="31" t="s">
        <v>237</v>
      </c>
      <c r="D44" s="31" t="s">
        <v>241</v>
      </c>
      <c r="E44" s="31"/>
      <c r="F44" s="31"/>
      <c r="G44" s="31" t="s">
        <v>121</v>
      </c>
      <c r="H44" s="31"/>
      <c r="I44" s="31" t="s">
        <v>6</v>
      </c>
      <c r="J44" s="32">
        <v>1.81</v>
      </c>
      <c r="K44" s="32">
        <v>1.69</v>
      </c>
      <c r="L44" s="32">
        <v>68</v>
      </c>
      <c r="M44" s="32">
        <v>81</v>
      </c>
      <c r="N44" s="33">
        <v>20</v>
      </c>
      <c r="O44" s="31">
        <v>220</v>
      </c>
      <c r="P44" s="31">
        <v>200</v>
      </c>
      <c r="Q44" s="40">
        <f t="shared" si="17"/>
        <v>3.3000000000000003</v>
      </c>
      <c r="R44" s="38">
        <f t="shared" si="6"/>
        <v>2</v>
      </c>
      <c r="S44" s="38"/>
      <c r="T44" s="38"/>
      <c r="U44" s="44" t="str">
        <f t="shared" si="1"/>
        <v>Pass</v>
      </c>
      <c r="V44" s="28" t="str">
        <f t="shared" si="12"/>
        <v>Pass</v>
      </c>
      <c r="W44" s="28" t="str">
        <f t="shared" si="13"/>
        <v>Pass</v>
      </c>
      <c r="X44" s="28" t="str">
        <f t="shared" si="14"/>
        <v>Pass</v>
      </c>
      <c r="Y44" s="28" t="str">
        <f t="shared" si="15"/>
        <v>Pass</v>
      </c>
      <c r="Z44" s="29">
        <v>1.43</v>
      </c>
    </row>
    <row r="45" spans="1:30" x14ac:dyDescent="0.35">
      <c r="A45" s="64" t="s">
        <v>236</v>
      </c>
      <c r="B45" s="31" t="s">
        <v>237</v>
      </c>
      <c r="C45" s="31" t="s">
        <v>237</v>
      </c>
      <c r="D45" s="31" t="s">
        <v>242</v>
      </c>
      <c r="E45" s="31"/>
      <c r="F45" s="31"/>
      <c r="G45" s="31" t="s">
        <v>121</v>
      </c>
      <c r="H45" s="31"/>
      <c r="I45" s="31" t="s">
        <v>6</v>
      </c>
      <c r="J45" s="32">
        <v>5.31</v>
      </c>
      <c r="K45" s="32">
        <v>1.69</v>
      </c>
      <c r="L45" s="32">
        <v>68</v>
      </c>
      <c r="M45" s="32">
        <v>84</v>
      </c>
      <c r="N45" s="33">
        <v>20</v>
      </c>
      <c r="O45" s="31">
        <v>296</v>
      </c>
      <c r="P45" s="31">
        <v>206</v>
      </c>
      <c r="Q45" s="40">
        <f t="shared" si="17"/>
        <v>3.3000000000000003</v>
      </c>
      <c r="R45" s="38">
        <f t="shared" si="6"/>
        <v>2</v>
      </c>
      <c r="S45" s="38"/>
      <c r="T45" s="38"/>
      <c r="U45" s="44" t="str">
        <f t="shared" si="1"/>
        <v>Fail</v>
      </c>
      <c r="V45" s="28" t="str">
        <f t="shared" si="12"/>
        <v>Fail</v>
      </c>
      <c r="W45" s="28" t="str">
        <f t="shared" si="13"/>
        <v>Pass</v>
      </c>
      <c r="X45" s="28" t="str">
        <f t="shared" si="14"/>
        <v>Pass</v>
      </c>
      <c r="Y45" s="28" t="str">
        <f t="shared" si="15"/>
        <v>Pass</v>
      </c>
      <c r="Z45" s="29">
        <v>1.4</v>
      </c>
    </row>
    <row r="46" spans="1:30" x14ac:dyDescent="0.35">
      <c r="A46" s="30">
        <v>2289622</v>
      </c>
      <c r="B46" s="30" t="s">
        <v>243</v>
      </c>
      <c r="C46" s="30" t="s">
        <v>244</v>
      </c>
      <c r="D46" s="30" t="s">
        <v>245</v>
      </c>
      <c r="E46" s="30">
        <v>115</v>
      </c>
      <c r="G46" s="30" t="s">
        <v>121</v>
      </c>
      <c r="H46" s="30" t="s">
        <v>123</v>
      </c>
      <c r="I46" s="30" t="s">
        <v>6</v>
      </c>
      <c r="J46" s="38">
        <v>1.64</v>
      </c>
      <c r="K46" s="38">
        <v>1.06</v>
      </c>
      <c r="L46" s="38">
        <v>56</v>
      </c>
      <c r="M46" s="38">
        <v>81</v>
      </c>
      <c r="N46" s="59">
        <v>10</v>
      </c>
      <c r="O46" s="30">
        <v>137.63</v>
      </c>
      <c r="P46" s="30">
        <v>99.49</v>
      </c>
      <c r="Q46" s="40">
        <f t="shared" si="0"/>
        <v>1.9700000000000002</v>
      </c>
      <c r="R46" s="38">
        <f t="shared" si="6"/>
        <v>1.1500000000000001</v>
      </c>
      <c r="S46" s="38"/>
      <c r="T46" s="38"/>
      <c r="U46" s="44" t="str">
        <f t="shared" si="1"/>
        <v>Fail</v>
      </c>
      <c r="V46" s="28" t="str">
        <f t="shared" si="12"/>
        <v>Pass</v>
      </c>
      <c r="W46" s="28" t="str">
        <f t="shared" si="13"/>
        <v>Pass</v>
      </c>
      <c r="X46" s="28" t="str">
        <f t="shared" si="14"/>
        <v>Fail</v>
      </c>
      <c r="Y46" s="28" t="str">
        <f t="shared" si="15"/>
        <v>Pass</v>
      </c>
      <c r="Z46" s="29"/>
    </row>
    <row r="47" spans="1:30" x14ac:dyDescent="0.35">
      <c r="A47" s="30" t="s">
        <v>236</v>
      </c>
      <c r="B47" s="31" t="s">
        <v>243</v>
      </c>
      <c r="C47" s="31" t="s">
        <v>244</v>
      </c>
      <c r="D47" s="31" t="s">
        <v>245</v>
      </c>
      <c r="E47" s="31">
        <v>115</v>
      </c>
      <c r="F47" s="31"/>
      <c r="G47" s="31" t="s">
        <v>121</v>
      </c>
      <c r="H47" s="31"/>
      <c r="I47" s="31" t="s">
        <v>6</v>
      </c>
      <c r="J47" s="32">
        <v>3.56</v>
      </c>
      <c r="K47" s="32">
        <v>0.9</v>
      </c>
      <c r="L47" s="32">
        <v>58</v>
      </c>
      <c r="M47" s="32">
        <v>79</v>
      </c>
      <c r="N47" s="43">
        <v>10</v>
      </c>
      <c r="O47" s="31">
        <v>174</v>
      </c>
      <c r="P47" s="31">
        <v>102</v>
      </c>
      <c r="Q47" s="40">
        <f t="shared" si="0"/>
        <v>1.9700000000000002</v>
      </c>
      <c r="R47" s="38">
        <f t="shared" si="6"/>
        <v>1.1500000000000001</v>
      </c>
      <c r="S47" s="38"/>
      <c r="T47" s="38"/>
      <c r="U47" s="44" t="str">
        <f t="shared" si="1"/>
        <v>Fail</v>
      </c>
      <c r="V47" s="28" t="str">
        <f t="shared" si="12"/>
        <v>Fail</v>
      </c>
      <c r="W47" s="28" t="str">
        <f t="shared" si="13"/>
        <v>Pass</v>
      </c>
      <c r="X47" s="28" t="str">
        <f t="shared" si="14"/>
        <v>Fail</v>
      </c>
      <c r="Y47" s="28" t="str">
        <f t="shared" si="15"/>
        <v>Pass</v>
      </c>
      <c r="Z47" s="29">
        <v>1.1000000000000001</v>
      </c>
    </row>
    <row r="48" spans="1:30" x14ac:dyDescent="0.35">
      <c r="A48" s="30">
        <v>2289623</v>
      </c>
      <c r="B48" s="30" t="s">
        <v>243</v>
      </c>
      <c r="C48" s="30" t="s">
        <v>244</v>
      </c>
      <c r="D48" s="30" t="s">
        <v>246</v>
      </c>
      <c r="E48" s="30">
        <v>121</v>
      </c>
      <c r="G48" s="30" t="s">
        <v>121</v>
      </c>
      <c r="H48" s="30" t="s">
        <v>122</v>
      </c>
      <c r="I48" s="30" t="s">
        <v>6</v>
      </c>
      <c r="J48" s="38">
        <v>2.13</v>
      </c>
      <c r="K48" s="38">
        <v>1.1100000000000001</v>
      </c>
      <c r="L48" s="38">
        <v>68</v>
      </c>
      <c r="M48" s="38">
        <v>85</v>
      </c>
      <c r="N48" s="59">
        <v>20</v>
      </c>
      <c r="O48" s="30">
        <v>252.67</v>
      </c>
      <c r="P48" s="30">
        <v>197.71</v>
      </c>
      <c r="Q48" s="40">
        <f t="shared" si="0"/>
        <v>3.3000000000000003</v>
      </c>
      <c r="R48" s="38">
        <f t="shared" si="6"/>
        <v>2</v>
      </c>
      <c r="S48" s="38"/>
      <c r="T48" s="38"/>
      <c r="U48" s="44" t="str">
        <f t="shared" si="1"/>
        <v>Pass</v>
      </c>
      <c r="V48" s="28" t="str">
        <f t="shared" si="12"/>
        <v>Pass</v>
      </c>
      <c r="W48" s="28" t="str">
        <f t="shared" si="13"/>
        <v>Pass</v>
      </c>
      <c r="X48" s="28" t="str">
        <f t="shared" si="14"/>
        <v>Pass</v>
      </c>
      <c r="Y48" s="28" t="str">
        <f t="shared" si="15"/>
        <v>Pass</v>
      </c>
      <c r="Z48" s="29"/>
    </row>
    <row r="49" spans="1:28" x14ac:dyDescent="0.35">
      <c r="A49" s="30">
        <v>2289624</v>
      </c>
      <c r="B49" s="30" t="s">
        <v>243</v>
      </c>
      <c r="C49" s="30" t="s">
        <v>244</v>
      </c>
      <c r="D49" s="30" t="s">
        <v>247</v>
      </c>
      <c r="E49" s="30">
        <v>215</v>
      </c>
      <c r="G49" s="30" t="s">
        <v>121</v>
      </c>
      <c r="H49" s="30" t="s">
        <v>123</v>
      </c>
      <c r="I49" s="30" t="s">
        <v>6</v>
      </c>
      <c r="J49" s="38">
        <v>3.24</v>
      </c>
      <c r="K49" s="38">
        <v>1.81</v>
      </c>
      <c r="L49" s="38">
        <v>60</v>
      </c>
      <c r="M49" s="38">
        <v>78</v>
      </c>
      <c r="N49" s="59">
        <v>20</v>
      </c>
      <c r="O49" s="30">
        <v>336.2</v>
      </c>
      <c r="P49" s="30">
        <v>184.68</v>
      </c>
      <c r="Q49" s="40">
        <f t="shared" si="0"/>
        <v>3.3000000000000003</v>
      </c>
      <c r="R49" s="38">
        <f t="shared" si="6"/>
        <v>2</v>
      </c>
      <c r="S49" s="38"/>
      <c r="T49" s="38"/>
      <c r="U49" s="44" t="str">
        <f t="shared" si="1"/>
        <v>Pass</v>
      </c>
      <c r="V49" s="28" t="str">
        <f t="shared" si="12"/>
        <v>Pass</v>
      </c>
      <c r="W49" s="28" t="str">
        <f t="shared" si="13"/>
        <v>Pass</v>
      </c>
      <c r="X49" s="28" t="str">
        <f t="shared" si="14"/>
        <v>Pass</v>
      </c>
      <c r="Y49" s="28" t="str">
        <f t="shared" si="15"/>
        <v>Pass</v>
      </c>
      <c r="Z49" s="29"/>
    </row>
    <row r="50" spans="1:28" x14ac:dyDescent="0.35">
      <c r="A50" s="30">
        <v>2289620</v>
      </c>
      <c r="B50" s="30" t="s">
        <v>243</v>
      </c>
      <c r="C50" s="30" t="s">
        <v>244</v>
      </c>
      <c r="D50" s="30" t="s">
        <v>248</v>
      </c>
      <c r="E50" s="30">
        <v>610</v>
      </c>
      <c r="G50" s="30" t="s">
        <v>121</v>
      </c>
      <c r="H50" s="30" t="s">
        <v>123</v>
      </c>
      <c r="I50" s="30" t="s">
        <v>6</v>
      </c>
      <c r="J50" s="38">
        <v>1.0900000000000001</v>
      </c>
      <c r="K50" s="38">
        <v>0.63</v>
      </c>
      <c r="L50" s="38">
        <v>62</v>
      </c>
      <c r="M50" s="38">
        <v>81</v>
      </c>
      <c r="N50" s="59">
        <v>6</v>
      </c>
      <c r="O50" s="30">
        <v>95.9</v>
      </c>
      <c r="P50" s="30">
        <v>56</v>
      </c>
      <c r="Q50" s="40">
        <f t="shared" si="0"/>
        <v>1.4380000000000002</v>
      </c>
      <c r="R50" s="38">
        <f t="shared" si="6"/>
        <v>0.81</v>
      </c>
      <c r="S50" s="38"/>
      <c r="T50" s="38"/>
      <c r="U50" s="44" t="str">
        <f t="shared" si="1"/>
        <v>Pass</v>
      </c>
      <c r="V50" s="28" t="str">
        <f t="shared" si="12"/>
        <v>Pass</v>
      </c>
      <c r="W50" s="28" t="str">
        <f t="shared" si="13"/>
        <v>Pass</v>
      </c>
      <c r="X50" s="28" t="str">
        <f t="shared" si="14"/>
        <v>Pass</v>
      </c>
      <c r="Y50" s="28" t="str">
        <f t="shared" si="15"/>
        <v>Pass</v>
      </c>
      <c r="Z50" s="29"/>
    </row>
    <row r="51" spans="1:28" x14ac:dyDescent="0.35">
      <c r="A51" s="30">
        <v>2289621</v>
      </c>
      <c r="B51" s="30" t="s">
        <v>243</v>
      </c>
      <c r="C51" s="30" t="s">
        <v>244</v>
      </c>
      <c r="D51" s="30" t="s">
        <v>249</v>
      </c>
      <c r="E51" s="30">
        <v>615</v>
      </c>
      <c r="G51" s="30" t="s">
        <v>121</v>
      </c>
      <c r="H51" s="30" t="s">
        <v>123</v>
      </c>
      <c r="I51" s="30" t="s">
        <v>6</v>
      </c>
      <c r="J51" s="38">
        <v>1.3</v>
      </c>
      <c r="K51" s="38">
        <v>0.87</v>
      </c>
      <c r="L51" s="38">
        <v>58</v>
      </c>
      <c r="M51" s="38">
        <v>77</v>
      </c>
      <c r="N51" s="59">
        <v>6</v>
      </c>
      <c r="O51" s="30">
        <v>93.4</v>
      </c>
      <c r="P51" s="30">
        <v>63.7</v>
      </c>
      <c r="Q51" s="40">
        <f t="shared" si="0"/>
        <v>1.4380000000000002</v>
      </c>
      <c r="R51" s="38">
        <f t="shared" si="6"/>
        <v>0.81</v>
      </c>
      <c r="S51" s="38"/>
      <c r="T51" s="38"/>
      <c r="U51" s="44" t="str">
        <f t="shared" si="1"/>
        <v>Fail</v>
      </c>
      <c r="V51" s="28" t="str">
        <f t="shared" si="12"/>
        <v>Pass</v>
      </c>
      <c r="W51" s="28" t="str">
        <f t="shared" si="13"/>
        <v>Fail</v>
      </c>
      <c r="X51" s="28" t="str">
        <f t="shared" si="14"/>
        <v>Fail</v>
      </c>
      <c r="Y51" s="28" t="str">
        <f t="shared" si="15"/>
        <v>Fail</v>
      </c>
      <c r="Z51" s="29"/>
    </row>
    <row r="52" spans="1:28" x14ac:dyDescent="0.35">
      <c r="A52" s="30" t="s">
        <v>236</v>
      </c>
      <c r="B52" s="31" t="s">
        <v>243</v>
      </c>
      <c r="C52" s="31" t="s">
        <v>244</v>
      </c>
      <c r="D52" s="31" t="s">
        <v>249</v>
      </c>
      <c r="E52" s="31">
        <v>615</v>
      </c>
      <c r="F52" s="31"/>
      <c r="G52" s="31" t="s">
        <v>121</v>
      </c>
      <c r="H52" s="31"/>
      <c r="I52" s="31"/>
      <c r="J52" s="32">
        <v>1.5</v>
      </c>
      <c r="K52" s="32">
        <v>0.75</v>
      </c>
      <c r="L52" s="32">
        <v>53</v>
      </c>
      <c r="M52" s="32">
        <v>75</v>
      </c>
      <c r="N52" s="43">
        <v>6</v>
      </c>
      <c r="O52" s="31">
        <v>103</v>
      </c>
      <c r="P52" s="31">
        <v>64</v>
      </c>
      <c r="Q52" s="40">
        <f t="shared" si="0"/>
        <v>1.4380000000000002</v>
      </c>
      <c r="R52" s="38">
        <f t="shared" si="6"/>
        <v>0.81</v>
      </c>
      <c r="S52" s="38"/>
      <c r="T52" s="38"/>
      <c r="U52" s="44" t="str">
        <f t="shared" si="1"/>
        <v>Fail</v>
      </c>
      <c r="V52" s="28" t="str">
        <f t="shared" si="12"/>
        <v>Fail</v>
      </c>
      <c r="W52" s="28" t="str">
        <f t="shared" si="13"/>
        <v>Pass</v>
      </c>
      <c r="X52" s="28" t="str">
        <f t="shared" si="14"/>
        <v>Fail</v>
      </c>
      <c r="Y52" s="28" t="str">
        <f t="shared" si="15"/>
        <v>Fail</v>
      </c>
      <c r="Z52" s="29">
        <v>0.83</v>
      </c>
    </row>
    <row r="53" spans="1:28" x14ac:dyDescent="0.35">
      <c r="A53" s="30">
        <v>2289627</v>
      </c>
      <c r="B53" s="30" t="s">
        <v>243</v>
      </c>
      <c r="C53" s="30" t="s">
        <v>244</v>
      </c>
      <c r="D53" s="30" t="s">
        <v>250</v>
      </c>
      <c r="E53" s="30">
        <v>621</v>
      </c>
      <c r="G53" s="30" t="s">
        <v>121</v>
      </c>
      <c r="H53" s="30" t="s">
        <v>122</v>
      </c>
      <c r="I53" s="30" t="s">
        <v>6</v>
      </c>
      <c r="J53" s="38">
        <v>2.04</v>
      </c>
      <c r="K53" s="38">
        <v>0.89</v>
      </c>
      <c r="L53" s="38">
        <v>59</v>
      </c>
      <c r="M53" s="38">
        <v>85</v>
      </c>
      <c r="N53" s="59">
        <v>12</v>
      </c>
      <c r="O53" s="30">
        <v>179.76</v>
      </c>
      <c r="P53" s="30">
        <v>123.59</v>
      </c>
      <c r="Q53" s="40">
        <f t="shared" si="0"/>
        <v>2.2360000000000002</v>
      </c>
      <c r="R53" s="38">
        <f t="shared" si="6"/>
        <v>1.32</v>
      </c>
      <c r="S53" s="38"/>
      <c r="T53" s="38"/>
      <c r="U53" s="44" t="str">
        <f t="shared" si="1"/>
        <v>Pass</v>
      </c>
      <c r="V53" s="28" t="str">
        <f t="shared" si="12"/>
        <v>Pass</v>
      </c>
      <c r="W53" s="28" t="str">
        <f t="shared" si="13"/>
        <v>Pass</v>
      </c>
      <c r="X53" s="28" t="str">
        <f t="shared" si="14"/>
        <v>Pass</v>
      </c>
      <c r="Y53" s="28" t="str">
        <f t="shared" si="15"/>
        <v>Pass</v>
      </c>
      <c r="Z53" s="29"/>
    </row>
    <row r="54" spans="1:28" x14ac:dyDescent="0.35">
      <c r="A54" s="60"/>
      <c r="B54" s="31" t="s">
        <v>244</v>
      </c>
      <c r="C54" s="31" t="s">
        <v>244</v>
      </c>
      <c r="D54" s="31" t="s">
        <v>251</v>
      </c>
      <c r="E54" s="31" t="s">
        <v>251</v>
      </c>
      <c r="F54" s="31"/>
      <c r="G54" s="31" t="s">
        <v>121</v>
      </c>
      <c r="H54" s="31" t="s">
        <v>123</v>
      </c>
      <c r="I54" s="31" t="s">
        <v>6</v>
      </c>
      <c r="J54" s="32">
        <v>1.35</v>
      </c>
      <c r="K54" s="32">
        <v>0.59</v>
      </c>
      <c r="L54" s="32">
        <v>63</v>
      </c>
      <c r="M54" s="32">
        <v>78</v>
      </c>
      <c r="N54" s="43">
        <v>6</v>
      </c>
      <c r="O54" s="31">
        <v>78</v>
      </c>
      <c r="P54" s="31">
        <v>57</v>
      </c>
      <c r="Q54" s="40">
        <f t="shared" si="0"/>
        <v>1.4380000000000002</v>
      </c>
      <c r="R54" s="38">
        <f t="shared" si="6"/>
        <v>0.81</v>
      </c>
      <c r="S54" s="38"/>
      <c r="T54" s="38"/>
      <c r="U54" s="44" t="str">
        <f t="shared" si="1"/>
        <v>Pass</v>
      </c>
      <c r="V54" s="28" t="str">
        <f t="shared" si="12"/>
        <v>Pass</v>
      </c>
      <c r="W54" s="28" t="str">
        <f t="shared" si="13"/>
        <v>Pass</v>
      </c>
      <c r="X54" s="28" t="str">
        <f t="shared" si="14"/>
        <v>Pass</v>
      </c>
      <c r="Y54" s="28" t="str">
        <f t="shared" si="15"/>
        <v>Pass</v>
      </c>
      <c r="Z54" s="40">
        <v>0.6</v>
      </c>
    </row>
    <row r="55" spans="1:28" x14ac:dyDescent="0.35">
      <c r="A55" s="64" t="s">
        <v>217</v>
      </c>
      <c r="B55" s="35" t="s">
        <v>252</v>
      </c>
      <c r="C55" s="35" t="s">
        <v>252</v>
      </c>
      <c r="D55" s="35"/>
      <c r="E55" s="35" t="s">
        <v>253</v>
      </c>
      <c r="F55" s="35"/>
      <c r="G55" s="35" t="s">
        <v>121</v>
      </c>
      <c r="H55" s="35" t="s">
        <v>122</v>
      </c>
      <c r="I55" s="35"/>
      <c r="J55" s="36">
        <v>5.6</v>
      </c>
      <c r="K55" s="36">
        <v>4</v>
      </c>
      <c r="L55" s="36">
        <v>57</v>
      </c>
      <c r="M55" s="36">
        <v>75</v>
      </c>
      <c r="N55" s="62">
        <v>38</v>
      </c>
      <c r="O55" s="35">
        <v>244</v>
      </c>
      <c r="P55" s="35">
        <v>273</v>
      </c>
      <c r="Q55" s="40">
        <f t="shared" si="0"/>
        <v>5.694</v>
      </c>
      <c r="R55" s="38">
        <f t="shared" si="6"/>
        <v>3.5300000000000002</v>
      </c>
      <c r="S55" s="38"/>
      <c r="T55" s="38"/>
      <c r="U55" s="44" t="str">
        <f t="shared" si="1"/>
        <v>Fail</v>
      </c>
      <c r="V55" s="28" t="str">
        <f t="shared" si="12"/>
        <v>Pass</v>
      </c>
      <c r="W55" s="28" t="str">
        <f t="shared" si="13"/>
        <v>Fail</v>
      </c>
      <c r="X55" s="28" t="str">
        <f t="shared" si="14"/>
        <v>Fail</v>
      </c>
      <c r="Y55" s="28" t="str">
        <f t="shared" si="15"/>
        <v>Fail</v>
      </c>
      <c r="Z55" s="29">
        <f>AVERAGE(AA55,AB55)</f>
        <v>1.6</v>
      </c>
      <c r="AA55" s="30">
        <v>1.1000000000000001</v>
      </c>
      <c r="AB55" s="30">
        <v>2.1</v>
      </c>
    </row>
    <row r="56" spans="1:28" x14ac:dyDescent="0.35">
      <c r="A56" s="60"/>
      <c r="B56" s="31" t="s">
        <v>252</v>
      </c>
      <c r="C56" s="31" t="s">
        <v>252</v>
      </c>
      <c r="D56" s="31"/>
      <c r="E56" s="31" t="s">
        <v>254</v>
      </c>
      <c r="F56" s="31"/>
      <c r="G56" s="31" t="s">
        <v>121</v>
      </c>
      <c r="H56" s="31" t="s">
        <v>122</v>
      </c>
      <c r="I56" s="31" t="s">
        <v>6</v>
      </c>
      <c r="J56" s="32">
        <v>3.12</v>
      </c>
      <c r="K56" s="32">
        <v>2.4300000000000002</v>
      </c>
      <c r="L56" s="32">
        <v>66</v>
      </c>
      <c r="M56" s="32">
        <v>71</v>
      </c>
      <c r="N56" s="43">
        <v>20</v>
      </c>
      <c r="O56" s="31">
        <v>182</v>
      </c>
      <c r="P56" s="31">
        <v>166</v>
      </c>
      <c r="Q56" s="40">
        <f t="shared" si="0"/>
        <v>3.3000000000000003</v>
      </c>
      <c r="R56" s="38">
        <f t="shared" si="6"/>
        <v>2</v>
      </c>
      <c r="S56" s="38"/>
      <c r="T56" s="38"/>
      <c r="U56" s="44" t="str">
        <f t="shared" si="1"/>
        <v>Fail</v>
      </c>
      <c r="V56" s="28" t="str">
        <f t="shared" si="12"/>
        <v>Pass</v>
      </c>
      <c r="W56" s="28" t="str">
        <f t="shared" si="13"/>
        <v>Fail</v>
      </c>
      <c r="X56" s="28" t="str">
        <f t="shared" si="14"/>
        <v>Pass</v>
      </c>
      <c r="Y56" s="28" t="str">
        <f t="shared" si="15"/>
        <v>Fail</v>
      </c>
      <c r="Z56" s="29">
        <v>1.56</v>
      </c>
    </row>
    <row r="57" spans="1:28" x14ac:dyDescent="0.35">
      <c r="A57" s="30">
        <v>2327320</v>
      </c>
      <c r="B57" s="30" t="s">
        <v>255</v>
      </c>
      <c r="C57" s="30" t="s">
        <v>256</v>
      </c>
      <c r="D57" s="30" t="s">
        <v>257</v>
      </c>
      <c r="E57" s="30" t="s">
        <v>257</v>
      </c>
      <c r="F57" s="30" t="s">
        <v>258</v>
      </c>
      <c r="G57" s="30" t="s">
        <v>121</v>
      </c>
      <c r="H57" s="30" t="s">
        <v>122</v>
      </c>
      <c r="I57" s="30" t="s">
        <v>6</v>
      </c>
      <c r="J57" s="38">
        <v>1.46</v>
      </c>
      <c r="K57" s="38">
        <v>1.03</v>
      </c>
      <c r="L57" s="38">
        <v>63</v>
      </c>
      <c r="M57" s="38">
        <v>78</v>
      </c>
      <c r="N57" s="59">
        <v>7</v>
      </c>
      <c r="O57" s="30">
        <v>106.7</v>
      </c>
      <c r="P57" s="30">
        <v>83.5</v>
      </c>
      <c r="Q57" s="40">
        <f t="shared" si="0"/>
        <v>1.5710000000000002</v>
      </c>
      <c r="R57" s="38">
        <f t="shared" si="6"/>
        <v>0.89500000000000002</v>
      </c>
      <c r="S57" s="38"/>
      <c r="T57" s="38"/>
      <c r="U57" s="44" t="str">
        <f t="shared" si="1"/>
        <v>Fail</v>
      </c>
      <c r="V57" s="28" t="str">
        <f t="shared" si="12"/>
        <v>Pass</v>
      </c>
      <c r="W57" s="28" t="str">
        <f t="shared" si="13"/>
        <v>Fail</v>
      </c>
      <c r="X57" s="28" t="str">
        <f t="shared" si="14"/>
        <v>Pass</v>
      </c>
      <c r="Y57" s="28" t="str">
        <f t="shared" si="15"/>
        <v>Pass</v>
      </c>
      <c r="Z57" s="29">
        <v>0.79</v>
      </c>
    </row>
    <row r="58" spans="1:28" x14ac:dyDescent="0.35">
      <c r="A58" s="30">
        <v>2294237</v>
      </c>
      <c r="B58" s="30" t="s">
        <v>255</v>
      </c>
      <c r="C58" s="30" t="s">
        <v>256</v>
      </c>
      <c r="D58" s="30" t="s">
        <v>259</v>
      </c>
      <c r="E58" s="30" t="s">
        <v>259</v>
      </c>
      <c r="F58" s="30" t="s">
        <v>260</v>
      </c>
      <c r="G58" s="30" t="s">
        <v>121</v>
      </c>
      <c r="H58" s="30" t="s">
        <v>122</v>
      </c>
      <c r="I58" s="30" t="s">
        <v>6</v>
      </c>
      <c r="J58" s="38">
        <v>1.96</v>
      </c>
      <c r="K58" s="38">
        <v>1.6</v>
      </c>
      <c r="L58" s="38">
        <v>67</v>
      </c>
      <c r="M58" s="38">
        <v>81</v>
      </c>
      <c r="N58" s="59">
        <v>14</v>
      </c>
      <c r="O58" s="30">
        <v>196.2</v>
      </c>
      <c r="P58" s="30">
        <v>139.4</v>
      </c>
      <c r="Q58" s="40">
        <f t="shared" si="0"/>
        <v>2.5020000000000002</v>
      </c>
      <c r="R58" s="38">
        <f t="shared" si="6"/>
        <v>1.4900000000000002</v>
      </c>
      <c r="S58" s="38"/>
      <c r="T58" s="38"/>
      <c r="U58" s="44" t="str">
        <f t="shared" si="1"/>
        <v>Fail</v>
      </c>
      <c r="V58" s="28" t="str">
        <f t="shared" si="12"/>
        <v>Pass</v>
      </c>
      <c r="W58" s="28" t="str">
        <f t="shared" si="13"/>
        <v>Fail</v>
      </c>
      <c r="X58" s="28" t="str">
        <f t="shared" si="14"/>
        <v>Pass</v>
      </c>
      <c r="Y58" s="28" t="str">
        <f t="shared" si="15"/>
        <v>Pass</v>
      </c>
      <c r="Z58" s="29">
        <v>1.25</v>
      </c>
    </row>
    <row r="59" spans="1:28" x14ac:dyDescent="0.35">
      <c r="A59" s="30">
        <v>2327392</v>
      </c>
      <c r="B59" s="30" t="s">
        <v>255</v>
      </c>
      <c r="C59" s="30" t="s">
        <v>256</v>
      </c>
      <c r="D59" s="30" t="s">
        <v>261</v>
      </c>
      <c r="E59" s="30" t="s">
        <v>261</v>
      </c>
      <c r="F59" s="30" t="s">
        <v>262</v>
      </c>
      <c r="G59" s="30" t="s">
        <v>121</v>
      </c>
      <c r="H59" s="30" t="s">
        <v>122</v>
      </c>
      <c r="I59" s="30" t="s">
        <v>6</v>
      </c>
      <c r="J59" s="38">
        <v>1.63</v>
      </c>
      <c r="K59" s="38">
        <v>1.21</v>
      </c>
      <c r="L59" s="38">
        <v>63</v>
      </c>
      <c r="M59" s="38">
        <v>82</v>
      </c>
      <c r="N59" s="59">
        <v>10</v>
      </c>
      <c r="O59" s="30">
        <v>174.8</v>
      </c>
      <c r="P59" s="30">
        <v>110.2</v>
      </c>
      <c r="Q59" s="40">
        <f t="shared" si="0"/>
        <v>1.9700000000000002</v>
      </c>
      <c r="R59" s="38">
        <f t="shared" si="6"/>
        <v>1.1500000000000001</v>
      </c>
      <c r="S59" s="38"/>
      <c r="T59" s="38"/>
      <c r="U59" s="44" t="str">
        <f t="shared" si="1"/>
        <v>Fail</v>
      </c>
      <c r="V59" s="28" t="str">
        <f t="shared" si="12"/>
        <v>Pass</v>
      </c>
      <c r="W59" s="28" t="str">
        <f t="shared" si="13"/>
        <v>Fail</v>
      </c>
      <c r="X59" s="28" t="str">
        <f t="shared" si="14"/>
        <v>Pass</v>
      </c>
      <c r="Y59" s="28" t="str">
        <f t="shared" si="15"/>
        <v>Pass</v>
      </c>
      <c r="Z59" s="29">
        <v>1.1299999999999999</v>
      </c>
    </row>
    <row r="60" spans="1:28" x14ac:dyDescent="0.35">
      <c r="A60" s="56">
        <v>2294241</v>
      </c>
      <c r="B60" s="30" t="s">
        <v>255</v>
      </c>
      <c r="C60" s="30" t="s">
        <v>256</v>
      </c>
      <c r="D60" s="30" t="s">
        <v>263</v>
      </c>
      <c r="E60" s="30" t="s">
        <v>263</v>
      </c>
      <c r="F60" s="30" t="s">
        <v>264</v>
      </c>
      <c r="G60" s="30" t="s">
        <v>121</v>
      </c>
      <c r="H60" s="30" t="s">
        <v>122</v>
      </c>
      <c r="I60" s="30" t="s">
        <v>6</v>
      </c>
      <c r="J60" s="38">
        <v>1.88</v>
      </c>
      <c r="K60" s="38">
        <v>1.88</v>
      </c>
      <c r="L60" s="38">
        <v>65</v>
      </c>
      <c r="M60" s="38">
        <v>83</v>
      </c>
      <c r="N60" s="59">
        <v>20</v>
      </c>
      <c r="O60" s="30">
        <v>365.9</v>
      </c>
      <c r="P60" s="30">
        <v>193.8</v>
      </c>
      <c r="Q60" s="40">
        <f t="shared" si="0"/>
        <v>3.3000000000000003</v>
      </c>
      <c r="R60" s="38">
        <f t="shared" si="6"/>
        <v>2</v>
      </c>
      <c r="S60" s="38"/>
      <c r="T60" s="38"/>
      <c r="U60" s="44" t="str">
        <f t="shared" si="1"/>
        <v>Pass</v>
      </c>
      <c r="V60" s="28" t="str">
        <f t="shared" si="12"/>
        <v>Pass</v>
      </c>
      <c r="W60" s="28" t="str">
        <f t="shared" si="13"/>
        <v>Pass</v>
      </c>
      <c r="X60" s="28" t="str">
        <f t="shared" si="14"/>
        <v>Pass</v>
      </c>
      <c r="Y60" s="28" t="str">
        <f t="shared" si="15"/>
        <v>Pass</v>
      </c>
      <c r="Z60" s="29">
        <v>1.56</v>
      </c>
    </row>
    <row r="61" spans="1:28" x14ac:dyDescent="0.35">
      <c r="A61" s="30">
        <v>2327174</v>
      </c>
      <c r="B61" s="30" t="s">
        <v>255</v>
      </c>
      <c r="C61" s="30" t="s">
        <v>256</v>
      </c>
      <c r="D61" s="30" t="s">
        <v>265</v>
      </c>
      <c r="E61" s="30" t="s">
        <v>265</v>
      </c>
      <c r="F61" s="30" t="s">
        <v>266</v>
      </c>
      <c r="G61" s="30" t="s">
        <v>121</v>
      </c>
      <c r="H61" s="30" t="s">
        <v>122</v>
      </c>
      <c r="I61" s="30" t="s">
        <v>6</v>
      </c>
      <c r="J61" s="38">
        <v>3.02</v>
      </c>
      <c r="K61" s="38">
        <v>1.97</v>
      </c>
      <c r="L61" s="38">
        <v>61</v>
      </c>
      <c r="M61" s="38">
        <v>78</v>
      </c>
      <c r="N61" s="59">
        <v>20</v>
      </c>
      <c r="O61" s="30">
        <v>331.09</v>
      </c>
      <c r="P61" s="30">
        <v>233.8</v>
      </c>
      <c r="Q61" s="40">
        <f t="shared" si="0"/>
        <v>3.3000000000000003</v>
      </c>
      <c r="R61" s="38">
        <f t="shared" si="6"/>
        <v>2</v>
      </c>
      <c r="S61" s="38"/>
      <c r="T61" s="38"/>
      <c r="U61" s="44" t="str">
        <f t="shared" si="1"/>
        <v>Pass</v>
      </c>
      <c r="V61" s="28" t="str">
        <f t="shared" si="12"/>
        <v>Pass</v>
      </c>
      <c r="W61" s="28" t="str">
        <f t="shared" si="13"/>
        <v>Pass</v>
      </c>
      <c r="X61" s="28" t="str">
        <f t="shared" si="14"/>
        <v>Pass</v>
      </c>
      <c r="Y61" s="28" t="str">
        <f t="shared" si="15"/>
        <v>Pass</v>
      </c>
    </row>
    <row r="62" spans="1:28" x14ac:dyDescent="0.35">
      <c r="A62" s="30">
        <v>2327462</v>
      </c>
      <c r="B62" s="30" t="s">
        <v>255</v>
      </c>
      <c r="C62" s="30" t="s">
        <v>256</v>
      </c>
      <c r="D62" s="30" t="s">
        <v>267</v>
      </c>
      <c r="E62" s="30" t="s">
        <v>267</v>
      </c>
      <c r="F62" s="30" t="s">
        <v>268</v>
      </c>
      <c r="G62" s="30" t="s">
        <v>121</v>
      </c>
      <c r="H62" s="30" t="s">
        <v>122</v>
      </c>
      <c r="I62" s="30" t="s">
        <v>6</v>
      </c>
      <c r="J62" s="38">
        <v>1.42</v>
      </c>
      <c r="K62" s="38">
        <v>1.03</v>
      </c>
      <c r="L62" s="38">
        <v>66</v>
      </c>
      <c r="M62" s="38">
        <v>78</v>
      </c>
      <c r="N62" s="59">
        <v>7</v>
      </c>
      <c r="O62" s="30">
        <v>92.1</v>
      </c>
      <c r="P62" s="30">
        <v>83.5</v>
      </c>
      <c r="Q62" s="40">
        <f t="shared" si="0"/>
        <v>1.5710000000000002</v>
      </c>
      <c r="R62" s="38">
        <f t="shared" si="6"/>
        <v>0.89500000000000002</v>
      </c>
      <c r="S62" s="38"/>
      <c r="T62" s="38"/>
      <c r="U62" s="44" t="str">
        <f t="shared" si="1"/>
        <v>Fail</v>
      </c>
      <c r="V62" s="28" t="str">
        <f t="shared" si="12"/>
        <v>Pass</v>
      </c>
      <c r="W62" s="28" t="str">
        <f t="shared" si="13"/>
        <v>Fail</v>
      </c>
      <c r="X62" s="28" t="str">
        <f t="shared" si="14"/>
        <v>Pass</v>
      </c>
      <c r="Y62" s="28" t="str">
        <f t="shared" si="15"/>
        <v>Pass</v>
      </c>
      <c r="Z62" s="29">
        <v>0.79</v>
      </c>
    </row>
    <row r="63" spans="1:28" x14ac:dyDescent="0.35">
      <c r="A63" s="30">
        <v>2327407</v>
      </c>
      <c r="B63" s="30" t="s">
        <v>255</v>
      </c>
      <c r="C63" s="30" t="s">
        <v>256</v>
      </c>
      <c r="D63" s="30" t="s">
        <v>269</v>
      </c>
      <c r="E63" s="30" t="s">
        <v>269</v>
      </c>
      <c r="F63" s="30" t="s">
        <v>270</v>
      </c>
      <c r="G63" s="30" t="s">
        <v>121</v>
      </c>
      <c r="H63" s="30" t="s">
        <v>122</v>
      </c>
      <c r="I63" s="30" t="s">
        <v>6</v>
      </c>
      <c r="J63" s="38">
        <v>1.1299999999999999</v>
      </c>
      <c r="K63" s="38">
        <v>1.27</v>
      </c>
      <c r="L63" s="38">
        <v>70</v>
      </c>
      <c r="M63" s="38">
        <v>81</v>
      </c>
      <c r="N63" s="59">
        <v>14</v>
      </c>
      <c r="O63" s="30">
        <v>128.19999999999999</v>
      </c>
      <c r="P63" s="30">
        <v>138.30000000000001</v>
      </c>
      <c r="Q63" s="40">
        <f t="shared" si="0"/>
        <v>2.5020000000000002</v>
      </c>
      <c r="R63" s="38">
        <f t="shared" si="6"/>
        <v>1.4900000000000002</v>
      </c>
      <c r="S63" s="38"/>
      <c r="T63" s="38"/>
      <c r="U63" s="44" t="str">
        <f t="shared" si="1"/>
        <v>Pass</v>
      </c>
      <c r="V63" s="28" t="str">
        <f t="shared" si="12"/>
        <v>Pass</v>
      </c>
      <c r="W63" s="28" t="str">
        <f t="shared" si="13"/>
        <v>Pass</v>
      </c>
      <c r="X63" s="28" t="str">
        <f t="shared" si="14"/>
        <v>Pass</v>
      </c>
      <c r="Y63" s="28" t="str">
        <f t="shared" si="15"/>
        <v>Pass</v>
      </c>
      <c r="Z63" s="29">
        <v>1.56</v>
      </c>
    </row>
    <row r="64" spans="1:28" x14ac:dyDescent="0.35">
      <c r="A64" s="30">
        <v>2327405</v>
      </c>
      <c r="B64" s="30" t="s">
        <v>255</v>
      </c>
      <c r="C64" s="30" t="s">
        <v>256</v>
      </c>
      <c r="D64" s="30" t="s">
        <v>271</v>
      </c>
      <c r="E64" s="30" t="s">
        <v>271</v>
      </c>
      <c r="F64" s="30" t="s">
        <v>272</v>
      </c>
      <c r="G64" s="30" t="s">
        <v>121</v>
      </c>
      <c r="H64" s="30" t="s">
        <v>122</v>
      </c>
      <c r="I64" s="30" t="s">
        <v>6</v>
      </c>
      <c r="J64" s="38">
        <v>1.22</v>
      </c>
      <c r="K64" s="38">
        <v>1.21</v>
      </c>
      <c r="L64" s="38">
        <v>66</v>
      </c>
      <c r="M64" s="38">
        <v>82</v>
      </c>
      <c r="N64" s="59">
        <v>10</v>
      </c>
      <c r="O64" s="30">
        <v>97.9</v>
      </c>
      <c r="P64" s="30">
        <v>110.2</v>
      </c>
      <c r="Q64" s="40">
        <f t="shared" si="0"/>
        <v>1.9700000000000002</v>
      </c>
      <c r="R64" s="38">
        <f t="shared" si="6"/>
        <v>1.1500000000000001</v>
      </c>
      <c r="S64" s="38"/>
      <c r="T64" s="38"/>
      <c r="U64" s="44" t="str">
        <f t="shared" si="1"/>
        <v>Fail</v>
      </c>
      <c r="V64" s="28" t="str">
        <f t="shared" si="12"/>
        <v>Pass</v>
      </c>
      <c r="W64" s="28" t="str">
        <f t="shared" si="13"/>
        <v>Fail</v>
      </c>
      <c r="X64" s="28" t="str">
        <f t="shared" si="14"/>
        <v>Pass</v>
      </c>
      <c r="Y64" s="28" t="str">
        <f t="shared" si="15"/>
        <v>Pass</v>
      </c>
      <c r="Z64" s="29">
        <v>1.1299999999999999</v>
      </c>
    </row>
    <row r="65" spans="1:38" x14ac:dyDescent="0.35">
      <c r="A65" s="30">
        <v>2327406</v>
      </c>
      <c r="B65" s="30" t="s">
        <v>255</v>
      </c>
      <c r="C65" s="30" t="s">
        <v>256</v>
      </c>
      <c r="D65" s="30" t="s">
        <v>273</v>
      </c>
      <c r="E65" s="30" t="s">
        <v>273</v>
      </c>
      <c r="F65" s="30" t="s">
        <v>274</v>
      </c>
      <c r="G65" s="30" t="s">
        <v>121</v>
      </c>
      <c r="H65" s="30" t="s">
        <v>122</v>
      </c>
      <c r="I65" s="30" t="s">
        <v>6</v>
      </c>
      <c r="J65" s="38">
        <v>1.93</v>
      </c>
      <c r="K65" s="38">
        <v>1.76</v>
      </c>
      <c r="L65" s="38">
        <v>72</v>
      </c>
      <c r="M65" s="38">
        <v>84</v>
      </c>
      <c r="N65" s="59">
        <v>20</v>
      </c>
      <c r="O65" s="30">
        <v>185.5</v>
      </c>
      <c r="P65" s="30">
        <v>195.6</v>
      </c>
      <c r="Q65" s="40">
        <f t="shared" si="0"/>
        <v>3.3000000000000003</v>
      </c>
      <c r="R65" s="38">
        <f t="shared" si="6"/>
        <v>2</v>
      </c>
      <c r="S65" s="38"/>
      <c r="T65" s="38"/>
      <c r="U65" s="44" t="str">
        <f t="shared" si="1"/>
        <v>Pass</v>
      </c>
      <c r="V65" s="28" t="str">
        <f t="shared" si="12"/>
        <v>Pass</v>
      </c>
      <c r="W65" s="28" t="str">
        <f t="shared" si="13"/>
        <v>Pass</v>
      </c>
      <c r="X65" s="28" t="str">
        <f t="shared" si="14"/>
        <v>Pass</v>
      </c>
      <c r="Y65" s="28" t="str">
        <f t="shared" si="15"/>
        <v>Pass</v>
      </c>
      <c r="Z65" s="29">
        <v>1.56</v>
      </c>
    </row>
    <row r="66" spans="1:38" x14ac:dyDescent="0.35">
      <c r="A66" s="41">
        <v>2327297</v>
      </c>
      <c r="B66" s="30" t="s">
        <v>255</v>
      </c>
      <c r="C66" s="30" t="s">
        <v>256</v>
      </c>
      <c r="D66" s="30" t="s">
        <v>275</v>
      </c>
      <c r="E66" s="30" t="s">
        <v>275</v>
      </c>
      <c r="F66" s="30" t="s">
        <v>268</v>
      </c>
      <c r="G66" s="30" t="s">
        <v>121</v>
      </c>
      <c r="H66" s="30" t="s">
        <v>122</v>
      </c>
      <c r="I66" s="30" t="s">
        <v>6</v>
      </c>
      <c r="J66" s="38">
        <v>2.41</v>
      </c>
      <c r="K66" s="38">
        <v>1.97</v>
      </c>
      <c r="L66" s="38">
        <v>62</v>
      </c>
      <c r="M66" s="38">
        <v>78</v>
      </c>
      <c r="N66" s="59">
        <v>20</v>
      </c>
      <c r="O66" s="30">
        <v>124.54</v>
      </c>
      <c r="P66" s="30">
        <v>233.8</v>
      </c>
      <c r="Q66" s="40">
        <f t="shared" si="0"/>
        <v>3.3000000000000003</v>
      </c>
      <c r="R66" s="38">
        <f t="shared" si="6"/>
        <v>2</v>
      </c>
      <c r="S66" s="38"/>
      <c r="T66" s="38"/>
      <c r="U66" s="44" t="str">
        <f t="shared" ref="U66:U114" si="18">IF((AND(J66&lt;=Q66, K66&lt;=R66, L66&gt;=$S$2, M66&gt;=$T$2)), "Pass", "Fail")</f>
        <v>Pass</v>
      </c>
      <c r="V66" s="28" t="str">
        <f t="shared" si="12"/>
        <v>Pass</v>
      </c>
      <c r="W66" s="28" t="str">
        <f t="shared" si="13"/>
        <v>Pass</v>
      </c>
      <c r="X66" s="28" t="str">
        <f t="shared" si="14"/>
        <v>Pass</v>
      </c>
      <c r="Y66" s="28" t="str">
        <f t="shared" si="15"/>
        <v>Pass</v>
      </c>
      <c r="Z66" s="29"/>
    </row>
    <row r="67" spans="1:38" x14ac:dyDescent="0.35">
      <c r="A67" s="60"/>
      <c r="B67" s="31" t="s">
        <v>310</v>
      </c>
      <c r="C67" s="31" t="s">
        <v>310</v>
      </c>
      <c r="D67" s="31" t="s">
        <v>311</v>
      </c>
      <c r="E67" s="31" t="s">
        <v>312</v>
      </c>
      <c r="F67" s="31"/>
      <c r="G67" s="31" t="s">
        <v>121</v>
      </c>
      <c r="H67" s="31" t="s">
        <v>123</v>
      </c>
      <c r="I67" s="31" t="s">
        <v>6</v>
      </c>
      <c r="J67" s="32">
        <v>2.21</v>
      </c>
      <c r="K67" s="32">
        <v>1.01</v>
      </c>
      <c r="L67" s="32">
        <v>60</v>
      </c>
      <c r="M67" s="32">
        <v>71</v>
      </c>
      <c r="N67" s="43">
        <v>5</v>
      </c>
      <c r="O67" s="31">
        <v>71</v>
      </c>
      <c r="P67" s="31">
        <v>48</v>
      </c>
      <c r="Q67" s="40">
        <f t="shared" si="0"/>
        <v>1.3050000000000002</v>
      </c>
      <c r="R67" s="38">
        <f t="shared" ref="R67:R70" si="19">0.085*N67+0.3</f>
        <v>0.72500000000000009</v>
      </c>
      <c r="S67" s="38"/>
      <c r="T67" s="38"/>
      <c r="U67" s="44" t="str">
        <f t="shared" si="18"/>
        <v>Fail</v>
      </c>
      <c r="V67" s="28" t="str">
        <f t="shared" si="12"/>
        <v>Fail</v>
      </c>
      <c r="W67" s="28" t="str">
        <f t="shared" si="13"/>
        <v>Fail</v>
      </c>
      <c r="X67" s="28" t="str">
        <f t="shared" si="14"/>
        <v>Pass</v>
      </c>
      <c r="Y67" s="28" t="str">
        <f t="shared" si="15"/>
        <v>Fail</v>
      </c>
      <c r="Z67" s="29">
        <v>0.43</v>
      </c>
    </row>
    <row r="68" spans="1:38" x14ac:dyDescent="0.35">
      <c r="A68" s="64" t="s">
        <v>236</v>
      </c>
      <c r="B68" s="31" t="s">
        <v>310</v>
      </c>
      <c r="C68" s="31" t="s">
        <v>310</v>
      </c>
      <c r="D68" s="31" t="s">
        <v>313</v>
      </c>
      <c r="E68" s="31" t="s">
        <v>314</v>
      </c>
      <c r="F68" s="31"/>
      <c r="G68" s="31" t="s">
        <v>121</v>
      </c>
      <c r="H68" s="31"/>
      <c r="I68" s="31" t="s">
        <v>6</v>
      </c>
      <c r="J68" s="32">
        <v>2.21</v>
      </c>
      <c r="K68" s="32">
        <v>1.01</v>
      </c>
      <c r="L68" s="32">
        <v>60</v>
      </c>
      <c r="M68" s="32">
        <v>71</v>
      </c>
      <c r="N68" s="43">
        <v>5</v>
      </c>
      <c r="O68" s="31">
        <v>71</v>
      </c>
      <c r="P68" s="31">
        <v>48</v>
      </c>
      <c r="Q68" s="40">
        <f t="shared" si="0"/>
        <v>1.3050000000000002</v>
      </c>
      <c r="R68" s="38">
        <f t="shared" si="19"/>
        <v>0.72500000000000009</v>
      </c>
      <c r="S68" s="38"/>
      <c r="T68" s="38"/>
      <c r="U68" s="44" t="str">
        <f t="shared" si="18"/>
        <v>Fail</v>
      </c>
      <c r="V68" s="28" t="str">
        <f t="shared" si="12"/>
        <v>Fail</v>
      </c>
      <c r="W68" s="28" t="str">
        <f t="shared" si="13"/>
        <v>Fail</v>
      </c>
      <c r="X68" s="28" t="str">
        <f t="shared" si="14"/>
        <v>Pass</v>
      </c>
      <c r="Y68" s="28" t="str">
        <f t="shared" si="15"/>
        <v>Fail</v>
      </c>
      <c r="Z68" s="29">
        <v>0.43</v>
      </c>
    </row>
    <row r="69" spans="1:38" x14ac:dyDescent="0.35">
      <c r="A69" s="60"/>
      <c r="B69" s="31" t="s">
        <v>276</v>
      </c>
      <c r="C69" s="31" t="s">
        <v>276</v>
      </c>
      <c r="D69" s="31"/>
      <c r="E69" s="31" t="s">
        <v>277</v>
      </c>
      <c r="F69" s="31"/>
      <c r="G69" s="31" t="s">
        <v>121</v>
      </c>
      <c r="H69" s="31" t="s">
        <v>123</v>
      </c>
      <c r="I69" s="31" t="s">
        <v>6</v>
      </c>
      <c r="J69" s="32">
        <v>1.69</v>
      </c>
      <c r="K69" s="32">
        <v>1.1299999999999999</v>
      </c>
      <c r="L69" s="32">
        <v>58</v>
      </c>
      <c r="M69" s="32">
        <v>76</v>
      </c>
      <c r="N69" s="43">
        <v>6</v>
      </c>
      <c r="O69" s="31">
        <v>88</v>
      </c>
      <c r="P69" s="31">
        <v>69</v>
      </c>
      <c r="Q69" s="40">
        <f t="shared" si="0"/>
        <v>1.4380000000000002</v>
      </c>
      <c r="R69" s="38">
        <f t="shared" si="19"/>
        <v>0.81</v>
      </c>
      <c r="S69" s="38"/>
      <c r="T69" s="38"/>
      <c r="U69" s="44" t="str">
        <f t="shared" si="18"/>
        <v>Fail</v>
      </c>
      <c r="V69" s="28" t="str">
        <f t="shared" si="12"/>
        <v>Fail</v>
      </c>
      <c r="W69" s="28" t="str">
        <f t="shared" si="13"/>
        <v>Fail</v>
      </c>
      <c r="X69" s="28" t="str">
        <f t="shared" si="14"/>
        <v>Fail</v>
      </c>
      <c r="Y69" s="28" t="str">
        <f t="shared" si="15"/>
        <v>Fail</v>
      </c>
      <c r="Z69" s="29">
        <v>0.56000000000000005</v>
      </c>
    </row>
    <row r="70" spans="1:38" x14ac:dyDescent="0.35">
      <c r="A70" s="60"/>
      <c r="B70" s="31" t="s">
        <v>396</v>
      </c>
      <c r="C70" s="31" t="s">
        <v>396</v>
      </c>
      <c r="D70" s="31"/>
      <c r="E70" s="31" t="s">
        <v>397</v>
      </c>
      <c r="F70" s="31"/>
      <c r="G70" s="31" t="s">
        <v>121</v>
      </c>
      <c r="H70" s="31"/>
      <c r="I70" s="31" t="s">
        <v>6</v>
      </c>
      <c r="J70" s="32">
        <v>1.69</v>
      </c>
      <c r="K70" s="32">
        <v>0.56999999999999995</v>
      </c>
      <c r="L70" s="32">
        <v>61.5</v>
      </c>
      <c r="M70" s="32">
        <v>73.7</v>
      </c>
      <c r="N70" s="43">
        <v>3</v>
      </c>
      <c r="O70" s="31">
        <v>43.2</v>
      </c>
      <c r="P70" s="31">
        <v>30.9</v>
      </c>
      <c r="Q70" s="40">
        <f t="shared" ref="Q70" si="20">0.133*N70+0.64</f>
        <v>1.0390000000000001</v>
      </c>
      <c r="R70" s="38">
        <f t="shared" si="19"/>
        <v>0.55499999999999994</v>
      </c>
      <c r="S70" s="38"/>
      <c r="T70" s="38"/>
      <c r="U70" s="44" t="str">
        <f t="shared" si="18"/>
        <v>Fail</v>
      </c>
      <c r="V70" s="28" t="str">
        <f t="shared" si="12"/>
        <v>Fail</v>
      </c>
      <c r="W70" s="28" t="str">
        <f t="shared" si="13"/>
        <v>Fail</v>
      </c>
      <c r="X70" s="28" t="str">
        <f t="shared" si="14"/>
        <v>Pass</v>
      </c>
      <c r="Y70" s="28" t="str">
        <f t="shared" si="15"/>
        <v>Fail</v>
      </c>
      <c r="Z70" s="29">
        <v>0.32899999999999996</v>
      </c>
      <c r="AA70" s="30">
        <v>0.308</v>
      </c>
      <c r="AB70" s="30">
        <v>0.35</v>
      </c>
    </row>
    <row r="71" spans="1:38" x14ac:dyDescent="0.35">
      <c r="A71" s="30">
        <v>2232234</v>
      </c>
      <c r="B71" s="30" t="s">
        <v>278</v>
      </c>
      <c r="C71" s="30" t="s">
        <v>279</v>
      </c>
      <c r="D71" s="30" t="s">
        <v>280</v>
      </c>
      <c r="E71" s="30" t="s">
        <v>280</v>
      </c>
      <c r="G71" s="30" t="s">
        <v>121</v>
      </c>
      <c r="H71" s="30" t="s">
        <v>123</v>
      </c>
      <c r="I71" s="30" t="s">
        <v>6</v>
      </c>
      <c r="J71" s="38">
        <v>1.01</v>
      </c>
      <c r="K71" s="38">
        <v>0.95</v>
      </c>
      <c r="L71" s="38">
        <v>55</v>
      </c>
      <c r="M71" s="38">
        <v>76</v>
      </c>
      <c r="N71" s="59">
        <v>6</v>
      </c>
      <c r="O71" s="30">
        <v>109.19</v>
      </c>
      <c r="P71" s="30">
        <v>65.28</v>
      </c>
      <c r="Q71" s="40">
        <f t="shared" si="0"/>
        <v>1.4380000000000002</v>
      </c>
      <c r="R71" s="38">
        <f>0.0825*N71+0.4</f>
        <v>0.89500000000000002</v>
      </c>
      <c r="S71" s="38"/>
      <c r="T71" s="38"/>
      <c r="U71" s="44" t="str">
        <f t="shared" si="18"/>
        <v>Fail</v>
      </c>
      <c r="V71" s="28" t="str">
        <f t="shared" si="12"/>
        <v>Pass</v>
      </c>
      <c r="W71" s="28" t="str">
        <f t="shared" si="13"/>
        <v>Fail</v>
      </c>
      <c r="X71" s="28" t="str">
        <f t="shared" si="14"/>
        <v>Fail</v>
      </c>
      <c r="Y71" s="28" t="str">
        <f t="shared" si="15"/>
        <v>Fail</v>
      </c>
      <c r="Z71" s="29"/>
    </row>
    <row r="72" spans="1:38" x14ac:dyDescent="0.35">
      <c r="A72" s="30">
        <v>2232235</v>
      </c>
      <c r="B72" s="30" t="s">
        <v>278</v>
      </c>
      <c r="C72" s="30" t="s">
        <v>279</v>
      </c>
      <c r="D72" s="30" t="s">
        <v>281</v>
      </c>
      <c r="E72" s="30" t="s">
        <v>281</v>
      </c>
      <c r="G72" s="30" t="s">
        <v>121</v>
      </c>
      <c r="H72" s="30" t="s">
        <v>122</v>
      </c>
      <c r="I72" s="30" t="s">
        <v>6</v>
      </c>
      <c r="J72" s="38">
        <v>1.19</v>
      </c>
      <c r="K72" s="38">
        <v>1.31</v>
      </c>
      <c r="L72" s="38">
        <v>58</v>
      </c>
      <c r="M72" s="38">
        <v>80</v>
      </c>
      <c r="N72" s="59">
        <v>6</v>
      </c>
      <c r="O72" s="30">
        <v>210.28</v>
      </c>
      <c r="P72" s="30">
        <v>121.03</v>
      </c>
      <c r="Q72" s="40">
        <f t="shared" si="0"/>
        <v>1.4380000000000002</v>
      </c>
      <c r="R72" s="38">
        <f t="shared" ref="R72:R125" si="21">0.0825*N72+0.4</f>
        <v>0.89500000000000002</v>
      </c>
      <c r="S72" s="38"/>
      <c r="T72" s="38"/>
      <c r="U72" s="44" t="str">
        <f t="shared" si="18"/>
        <v>Fail</v>
      </c>
      <c r="V72" s="28" t="str">
        <f t="shared" ref="V72:V118" si="22">IF(J72&lt;=Q72, "Pass", "Fail")</f>
        <v>Pass</v>
      </c>
      <c r="W72" s="28" t="str">
        <f t="shared" ref="W72:W118" si="23">IF(K72&lt;=R72, "Pass", "Fail")</f>
        <v>Fail</v>
      </c>
      <c r="X72" s="28" t="str">
        <f t="shared" ref="X72:X118" si="24">IF(L72&gt;=$S$2, "Pass", "Fail")</f>
        <v>Fail</v>
      </c>
      <c r="Y72" s="28" t="str">
        <f t="shared" ref="Y72:Y118" si="25">IF(M72&gt;=$T$2, "Pass", "Fail")</f>
        <v>Pass</v>
      </c>
      <c r="Z72" s="29"/>
    </row>
    <row r="73" spans="1:38" x14ac:dyDescent="0.35">
      <c r="A73" s="123" t="s">
        <v>236</v>
      </c>
      <c r="B73" s="31" t="s">
        <v>278</v>
      </c>
      <c r="C73" s="31" t="s">
        <v>279</v>
      </c>
      <c r="D73" s="31" t="s">
        <v>282</v>
      </c>
      <c r="E73" s="31"/>
      <c r="F73" s="31"/>
      <c r="G73" s="31"/>
      <c r="H73" s="31"/>
      <c r="I73" s="31"/>
      <c r="J73" s="32">
        <v>1.69</v>
      </c>
      <c r="K73" s="32">
        <v>0.92</v>
      </c>
      <c r="L73" s="32">
        <v>58</v>
      </c>
      <c r="M73" s="32">
        <v>76</v>
      </c>
      <c r="N73" s="43">
        <v>6</v>
      </c>
      <c r="O73" s="31">
        <v>111</v>
      </c>
      <c r="P73" s="31">
        <v>63</v>
      </c>
      <c r="Q73" s="40">
        <f>0.133*N73+0.64</f>
        <v>1.4380000000000002</v>
      </c>
      <c r="R73" s="38">
        <f t="shared" si="21"/>
        <v>0.89500000000000002</v>
      </c>
      <c r="S73" s="38"/>
      <c r="T73" s="38"/>
      <c r="U73" s="44" t="str">
        <f t="shared" si="18"/>
        <v>Fail</v>
      </c>
      <c r="V73" s="28" t="str">
        <f t="shared" si="22"/>
        <v>Fail</v>
      </c>
      <c r="W73" s="28" t="str">
        <f t="shared" si="23"/>
        <v>Fail</v>
      </c>
      <c r="X73" s="28" t="str">
        <f t="shared" si="24"/>
        <v>Fail</v>
      </c>
      <c r="Y73" s="28" t="str">
        <f t="shared" si="25"/>
        <v>Fail</v>
      </c>
      <c r="Z73" s="29">
        <v>0.67</v>
      </c>
    </row>
    <row r="74" spans="1:38" x14ac:dyDescent="0.35">
      <c r="A74" s="30" t="s">
        <v>236</v>
      </c>
      <c r="B74" s="31" t="s">
        <v>278</v>
      </c>
      <c r="C74" s="31" t="s">
        <v>279</v>
      </c>
      <c r="D74" s="31" t="s">
        <v>283</v>
      </c>
      <c r="E74" s="31"/>
      <c r="F74" s="31"/>
      <c r="G74" s="31"/>
      <c r="H74" s="31"/>
      <c r="I74" s="31"/>
      <c r="J74" s="32">
        <v>2.19</v>
      </c>
      <c r="K74" s="32">
        <v>1.1299999999999999</v>
      </c>
      <c r="L74" s="32">
        <v>60</v>
      </c>
      <c r="M74" s="32">
        <v>79</v>
      </c>
      <c r="N74" s="43">
        <v>10</v>
      </c>
      <c r="O74" s="31">
        <v>201</v>
      </c>
      <c r="P74" s="31">
        <v>106</v>
      </c>
      <c r="Q74" s="40">
        <f t="shared" ref="Q74" si="26">0.133*N74+0.64</f>
        <v>1.9700000000000002</v>
      </c>
      <c r="R74" s="38">
        <f t="shared" si="21"/>
        <v>1.2250000000000001</v>
      </c>
      <c r="S74" s="38"/>
      <c r="T74" s="38"/>
      <c r="U74" s="44" t="str">
        <f t="shared" si="18"/>
        <v>Fail</v>
      </c>
      <c r="V74" s="28" t="str">
        <f t="shared" si="22"/>
        <v>Fail</v>
      </c>
      <c r="W74" s="28" t="str">
        <f t="shared" si="23"/>
        <v>Pass</v>
      </c>
      <c r="X74" s="28" t="str">
        <f t="shared" si="24"/>
        <v>Pass</v>
      </c>
      <c r="Y74" s="28" t="str">
        <f t="shared" si="25"/>
        <v>Pass</v>
      </c>
      <c r="Z74" s="29">
        <v>0.86</v>
      </c>
    </row>
    <row r="75" spans="1:38" ht="13.5" customHeight="1" x14ac:dyDescent="0.35">
      <c r="A75" s="30">
        <v>2359355</v>
      </c>
      <c r="B75" s="30" t="s">
        <v>278</v>
      </c>
      <c r="C75" s="30" t="s">
        <v>279</v>
      </c>
      <c r="D75" s="30" t="s">
        <v>284</v>
      </c>
      <c r="E75" s="30" t="s">
        <v>284</v>
      </c>
      <c r="G75" s="30" t="s">
        <v>121</v>
      </c>
      <c r="H75" s="30" t="s">
        <v>123</v>
      </c>
      <c r="I75" s="30" t="s">
        <v>6</v>
      </c>
      <c r="J75" s="38">
        <v>0.92</v>
      </c>
      <c r="K75" s="38">
        <v>0.7</v>
      </c>
      <c r="L75" s="38">
        <v>56</v>
      </c>
      <c r="M75" s="38">
        <v>77</v>
      </c>
      <c r="N75" s="59">
        <v>6</v>
      </c>
      <c r="O75" s="30">
        <v>118.2</v>
      </c>
      <c r="P75" s="30">
        <v>65.400000000000006</v>
      </c>
      <c r="Q75" s="40">
        <f t="shared" si="0"/>
        <v>1.4380000000000002</v>
      </c>
      <c r="R75" s="38">
        <f t="shared" si="21"/>
        <v>0.89500000000000002</v>
      </c>
      <c r="S75" s="38"/>
      <c r="T75" s="38"/>
      <c r="U75" s="44" t="str">
        <f t="shared" si="18"/>
        <v>Fail</v>
      </c>
      <c r="V75" s="28" t="str">
        <f t="shared" si="22"/>
        <v>Pass</v>
      </c>
      <c r="W75" s="28" t="str">
        <f t="shared" si="23"/>
        <v>Pass</v>
      </c>
      <c r="X75" s="28" t="str">
        <f t="shared" si="24"/>
        <v>Fail</v>
      </c>
      <c r="Y75" s="28" t="str">
        <f t="shared" si="25"/>
        <v>Fail</v>
      </c>
      <c r="Z75" s="29"/>
    </row>
    <row r="76" spans="1:38" ht="13.5" customHeight="1" x14ac:dyDescent="0.35">
      <c r="A76" s="30" t="s">
        <v>236</v>
      </c>
      <c r="B76" s="31" t="s">
        <v>278</v>
      </c>
      <c r="C76" s="31" t="s">
        <v>279</v>
      </c>
      <c r="D76" s="31" t="s">
        <v>285</v>
      </c>
      <c r="E76" s="31"/>
      <c r="F76" s="31"/>
      <c r="G76" s="31"/>
      <c r="H76" s="31"/>
      <c r="I76" s="31"/>
      <c r="J76" s="32">
        <v>0.87</v>
      </c>
      <c r="K76" s="32">
        <v>0.95</v>
      </c>
      <c r="L76" s="32">
        <v>59</v>
      </c>
      <c r="M76" s="32">
        <v>81</v>
      </c>
      <c r="N76" s="43">
        <v>12</v>
      </c>
      <c r="O76" s="31">
        <v>236</v>
      </c>
      <c r="P76" s="31">
        <v>127</v>
      </c>
      <c r="Q76" s="40">
        <f t="shared" si="0"/>
        <v>2.2360000000000002</v>
      </c>
      <c r="R76" s="38">
        <f t="shared" si="21"/>
        <v>1.3900000000000001</v>
      </c>
      <c r="S76" s="38"/>
      <c r="T76" s="38"/>
      <c r="U76" s="44" t="str">
        <f t="shared" si="18"/>
        <v>Pass</v>
      </c>
      <c r="V76" s="28" t="str">
        <f t="shared" si="22"/>
        <v>Pass</v>
      </c>
      <c r="W76" s="28" t="str">
        <f t="shared" si="23"/>
        <v>Pass</v>
      </c>
      <c r="X76" s="28" t="str">
        <f t="shared" si="24"/>
        <v>Pass</v>
      </c>
      <c r="Y76" s="28" t="str">
        <f t="shared" si="25"/>
        <v>Pass</v>
      </c>
      <c r="Z76" s="29">
        <v>1</v>
      </c>
    </row>
    <row r="77" spans="1:38" x14ac:dyDescent="0.35">
      <c r="A77" s="30">
        <v>2359349</v>
      </c>
      <c r="B77" s="30" t="s">
        <v>278</v>
      </c>
      <c r="C77" s="30" t="s">
        <v>279</v>
      </c>
      <c r="D77" s="30" t="s">
        <v>286</v>
      </c>
      <c r="E77" s="30" t="s">
        <v>286</v>
      </c>
      <c r="G77" s="30" t="s">
        <v>121</v>
      </c>
      <c r="H77" s="30" t="s">
        <v>122</v>
      </c>
      <c r="I77" s="30" t="s">
        <v>6</v>
      </c>
      <c r="J77" s="38">
        <v>0.84</v>
      </c>
      <c r="K77" s="38">
        <v>0.98</v>
      </c>
      <c r="L77" s="38">
        <v>57</v>
      </c>
      <c r="M77" s="38">
        <v>82</v>
      </c>
      <c r="N77" s="59">
        <v>12</v>
      </c>
      <c r="O77" s="30">
        <v>217.02</v>
      </c>
      <c r="P77" s="30">
        <v>116.6</v>
      </c>
      <c r="Q77" s="40">
        <f t="shared" si="0"/>
        <v>2.2360000000000002</v>
      </c>
      <c r="R77" s="38">
        <f t="shared" si="21"/>
        <v>1.3900000000000001</v>
      </c>
      <c r="S77" s="38"/>
      <c r="T77" s="38"/>
      <c r="U77" s="44" t="str">
        <f t="shared" si="18"/>
        <v>Fail</v>
      </c>
      <c r="V77" s="28" t="str">
        <f t="shared" si="22"/>
        <v>Pass</v>
      </c>
      <c r="W77" s="28" t="str">
        <f t="shared" si="23"/>
        <v>Pass</v>
      </c>
      <c r="X77" s="28" t="str">
        <f t="shared" si="24"/>
        <v>Fail</v>
      </c>
      <c r="Y77" s="28" t="str">
        <f t="shared" si="25"/>
        <v>Pass</v>
      </c>
      <c r="Z77" s="29"/>
    </row>
    <row r="78" spans="1:38" x14ac:dyDescent="0.35">
      <c r="A78" s="30">
        <v>2359356</v>
      </c>
      <c r="B78" s="30" t="s">
        <v>278</v>
      </c>
      <c r="C78" s="30" t="s">
        <v>279</v>
      </c>
      <c r="D78" s="30" t="s">
        <v>287</v>
      </c>
      <c r="E78" s="30" t="s">
        <v>287</v>
      </c>
      <c r="G78" s="30" t="s">
        <v>121</v>
      </c>
      <c r="H78" s="30" t="s">
        <v>123</v>
      </c>
      <c r="I78" s="30" t="s">
        <v>6</v>
      </c>
      <c r="J78" s="38">
        <v>0.95</v>
      </c>
      <c r="K78" s="38">
        <v>0.97</v>
      </c>
      <c r="L78" s="38">
        <v>60</v>
      </c>
      <c r="M78" s="38">
        <v>80</v>
      </c>
      <c r="N78" s="59">
        <v>10</v>
      </c>
      <c r="O78" s="30">
        <v>202.6</v>
      </c>
      <c r="P78" s="30">
        <v>108.3</v>
      </c>
      <c r="Q78" s="40">
        <f t="shared" si="0"/>
        <v>1.9700000000000002</v>
      </c>
      <c r="R78" s="38">
        <f t="shared" si="21"/>
        <v>1.2250000000000001</v>
      </c>
      <c r="S78" s="38"/>
      <c r="T78" s="38"/>
      <c r="U78" s="44" t="str">
        <f t="shared" si="18"/>
        <v>Pass</v>
      </c>
      <c r="V78" s="28" t="str">
        <f t="shared" si="22"/>
        <v>Pass</v>
      </c>
      <c r="W78" s="28" t="str">
        <f t="shared" si="23"/>
        <v>Pass</v>
      </c>
      <c r="X78" s="28" t="str">
        <f t="shared" si="24"/>
        <v>Pass</v>
      </c>
      <c r="Y78" s="28" t="str">
        <f t="shared" si="25"/>
        <v>Pass</v>
      </c>
      <c r="Z78" s="29"/>
    </row>
    <row r="79" spans="1:38" s="47" customFormat="1" ht="14.5" customHeight="1" x14ac:dyDescent="0.35">
      <c r="A79" s="30">
        <v>2359351</v>
      </c>
      <c r="B79" s="30" t="s">
        <v>278</v>
      </c>
      <c r="C79" s="30" t="s">
        <v>279</v>
      </c>
      <c r="D79" s="30" t="s">
        <v>288</v>
      </c>
      <c r="E79" s="30" t="s">
        <v>288</v>
      </c>
      <c r="F79" s="30"/>
      <c r="G79" s="30" t="s">
        <v>121</v>
      </c>
      <c r="H79" s="30" t="s">
        <v>123</v>
      </c>
      <c r="I79" s="30" t="s">
        <v>6</v>
      </c>
      <c r="J79" s="38">
        <v>2.2400000000000002</v>
      </c>
      <c r="K79" s="38">
        <v>1.74</v>
      </c>
      <c r="L79" s="38">
        <v>55</v>
      </c>
      <c r="M79" s="38">
        <v>76</v>
      </c>
      <c r="N79" s="59">
        <v>20</v>
      </c>
      <c r="O79" s="30">
        <v>382.6</v>
      </c>
      <c r="P79" s="65">
        <v>187.11</v>
      </c>
      <c r="Q79" s="38">
        <f t="shared" si="0"/>
        <v>3.3000000000000003</v>
      </c>
      <c r="R79" s="38">
        <f t="shared" si="21"/>
        <v>2.0500000000000003</v>
      </c>
      <c r="S79" s="38"/>
      <c r="T79" s="38"/>
      <c r="U79" s="44" t="str">
        <f t="shared" si="18"/>
        <v>Fail</v>
      </c>
      <c r="V79" s="28" t="str">
        <f t="shared" si="22"/>
        <v>Pass</v>
      </c>
      <c r="W79" s="28" t="str">
        <f t="shared" si="23"/>
        <v>Pass</v>
      </c>
      <c r="X79" s="28" t="str">
        <f t="shared" si="24"/>
        <v>Fail</v>
      </c>
      <c r="Y79" s="28" t="str">
        <f t="shared" si="25"/>
        <v>Fail</v>
      </c>
      <c r="Z79" s="29"/>
      <c r="AA79" s="30"/>
      <c r="AB79" s="30"/>
      <c r="AC79" s="30"/>
      <c r="AD79" s="30"/>
      <c r="AE79" s="30"/>
      <c r="AF79" s="30"/>
      <c r="AG79" s="30"/>
      <c r="AH79" s="30"/>
      <c r="AI79" s="30"/>
      <c r="AJ79" s="30"/>
      <c r="AK79" s="30"/>
      <c r="AL79" s="30"/>
    </row>
    <row r="80" spans="1:38" ht="14.5" customHeight="1" x14ac:dyDescent="0.35">
      <c r="A80" s="30" t="s">
        <v>236</v>
      </c>
      <c r="B80" s="31" t="s">
        <v>278</v>
      </c>
      <c r="C80" s="31" t="s">
        <v>279</v>
      </c>
      <c r="D80" s="31" t="s">
        <v>289</v>
      </c>
      <c r="E80" s="31"/>
      <c r="F80" s="31"/>
      <c r="G80" s="31"/>
      <c r="H80" s="31"/>
      <c r="I80" s="31"/>
      <c r="J80" s="32">
        <v>2.0299999999999998</v>
      </c>
      <c r="K80" s="32">
        <v>1.22</v>
      </c>
      <c r="L80" s="32">
        <v>64</v>
      </c>
      <c r="M80" s="32">
        <v>82</v>
      </c>
      <c r="N80" s="43">
        <v>20</v>
      </c>
      <c r="O80" s="31">
        <v>383</v>
      </c>
      <c r="P80" s="122">
        <v>206</v>
      </c>
      <c r="Q80" s="38">
        <f t="shared" si="0"/>
        <v>3.3000000000000003</v>
      </c>
      <c r="R80" s="38">
        <f t="shared" si="21"/>
        <v>2.0500000000000003</v>
      </c>
      <c r="S80" s="38"/>
      <c r="T80" s="38"/>
      <c r="U80" s="44" t="str">
        <f t="shared" si="18"/>
        <v>Pass</v>
      </c>
      <c r="V80" s="28" t="str">
        <f t="shared" si="22"/>
        <v>Pass</v>
      </c>
      <c r="W80" s="28" t="str">
        <f t="shared" si="23"/>
        <v>Pass</v>
      </c>
      <c r="X80" s="28" t="str">
        <f t="shared" si="24"/>
        <v>Pass</v>
      </c>
      <c r="Y80" s="28" t="str">
        <f t="shared" si="25"/>
        <v>Pass</v>
      </c>
      <c r="Z80" s="29">
        <v>1.44</v>
      </c>
    </row>
    <row r="81" spans="1:47" x14ac:dyDescent="0.35">
      <c r="A81" s="56">
        <v>2359350</v>
      </c>
      <c r="B81" s="30" t="s">
        <v>278</v>
      </c>
      <c r="C81" s="30" t="s">
        <v>279</v>
      </c>
      <c r="D81" s="30" t="s">
        <v>290</v>
      </c>
      <c r="E81" s="30" t="s">
        <v>291</v>
      </c>
      <c r="G81" s="30" t="s">
        <v>121</v>
      </c>
      <c r="H81" s="30" t="s">
        <v>122</v>
      </c>
      <c r="I81" s="30" t="s">
        <v>6</v>
      </c>
      <c r="J81" s="38">
        <v>1.59</v>
      </c>
      <c r="K81" s="38">
        <v>1.27</v>
      </c>
      <c r="L81" s="38">
        <v>59</v>
      </c>
      <c r="M81" s="38">
        <v>82</v>
      </c>
      <c r="N81" s="59">
        <v>20</v>
      </c>
      <c r="O81" s="30">
        <v>368.77</v>
      </c>
      <c r="P81" s="65">
        <v>183.31</v>
      </c>
      <c r="Q81" s="38">
        <f t="shared" si="0"/>
        <v>3.3000000000000003</v>
      </c>
      <c r="R81" s="38">
        <f t="shared" si="21"/>
        <v>2.0500000000000003</v>
      </c>
      <c r="S81" s="38"/>
      <c r="T81" s="38"/>
      <c r="U81" s="44" t="str">
        <f t="shared" si="18"/>
        <v>Pass</v>
      </c>
      <c r="V81" s="28" t="str">
        <f t="shared" si="22"/>
        <v>Pass</v>
      </c>
      <c r="W81" s="28" t="str">
        <f t="shared" si="23"/>
        <v>Pass</v>
      </c>
      <c r="X81" s="28" t="str">
        <f t="shared" si="24"/>
        <v>Pass</v>
      </c>
      <c r="Y81" s="28" t="str">
        <f t="shared" si="25"/>
        <v>Pass</v>
      </c>
      <c r="Z81" s="29"/>
    </row>
    <row r="82" spans="1:47" x14ac:dyDescent="0.35">
      <c r="A82" s="30">
        <v>2199149</v>
      </c>
      <c r="B82" s="30" t="s">
        <v>278</v>
      </c>
      <c r="C82" s="30" t="s">
        <v>279</v>
      </c>
      <c r="D82" s="30" t="s">
        <v>392</v>
      </c>
      <c r="E82" s="30" t="s">
        <v>392</v>
      </c>
      <c r="G82" s="30" t="s">
        <v>121</v>
      </c>
      <c r="H82" s="30" t="s">
        <v>123</v>
      </c>
      <c r="I82" s="30" t="s">
        <v>6</v>
      </c>
      <c r="J82" s="38">
        <v>1.18</v>
      </c>
      <c r="K82" s="38">
        <v>1.1499999999999999</v>
      </c>
      <c r="L82" s="38">
        <v>58</v>
      </c>
      <c r="M82" s="38">
        <v>77</v>
      </c>
      <c r="N82" s="90">
        <v>10</v>
      </c>
      <c r="O82" s="30">
        <v>145.46</v>
      </c>
      <c r="P82" s="30">
        <v>108.38</v>
      </c>
      <c r="Q82" s="40">
        <f t="shared" si="0"/>
        <v>1.9700000000000002</v>
      </c>
      <c r="R82" s="38">
        <f t="shared" si="21"/>
        <v>1.2250000000000001</v>
      </c>
      <c r="S82" s="38"/>
      <c r="T82" s="38"/>
      <c r="U82" s="44" t="str">
        <f t="shared" si="18"/>
        <v>Fail</v>
      </c>
      <c r="V82" s="28" t="str">
        <f t="shared" si="22"/>
        <v>Pass</v>
      </c>
      <c r="W82" s="28" t="str">
        <f t="shared" si="23"/>
        <v>Pass</v>
      </c>
      <c r="X82" s="28" t="str">
        <f t="shared" si="24"/>
        <v>Fail</v>
      </c>
      <c r="Y82" s="28" t="str">
        <f t="shared" si="25"/>
        <v>Fail</v>
      </c>
      <c r="Z82" s="29"/>
    </row>
    <row r="83" spans="1:47" x14ac:dyDescent="0.35">
      <c r="A83" s="30" t="s">
        <v>236</v>
      </c>
      <c r="B83" s="31" t="s">
        <v>278</v>
      </c>
      <c r="C83" s="31" t="s">
        <v>279</v>
      </c>
      <c r="D83" s="31" t="s">
        <v>398</v>
      </c>
      <c r="E83" s="31"/>
      <c r="F83" s="31"/>
      <c r="G83" s="31"/>
      <c r="H83" s="31"/>
      <c r="I83" s="31"/>
      <c r="J83" s="32">
        <v>3.3</v>
      </c>
      <c r="K83" s="32">
        <v>2</v>
      </c>
      <c r="L83" s="32">
        <v>61</v>
      </c>
      <c r="M83" s="32">
        <v>79</v>
      </c>
      <c r="N83" s="33">
        <v>20</v>
      </c>
      <c r="O83" s="31">
        <v>367</v>
      </c>
      <c r="P83" s="31">
        <v>189</v>
      </c>
      <c r="Q83" s="40">
        <f t="shared" ref="Q83" si="27">0.133*N83+0.64</f>
        <v>3.3000000000000003</v>
      </c>
      <c r="R83" s="38">
        <f t="shared" si="21"/>
        <v>2.0500000000000003</v>
      </c>
      <c r="S83" s="38"/>
      <c r="T83" s="38"/>
      <c r="U83" s="44" t="str">
        <f t="shared" si="18"/>
        <v>Pass</v>
      </c>
      <c r="V83" s="28" t="str">
        <f t="shared" si="22"/>
        <v>Pass</v>
      </c>
      <c r="W83" s="28" t="str">
        <f t="shared" si="23"/>
        <v>Pass</v>
      </c>
      <c r="X83" s="28" t="str">
        <f t="shared" si="24"/>
        <v>Pass</v>
      </c>
      <c r="Y83" s="28" t="str">
        <f t="shared" si="25"/>
        <v>Pass</v>
      </c>
      <c r="Z83" s="29">
        <v>1.58</v>
      </c>
    </row>
    <row r="84" spans="1:47" x14ac:dyDescent="0.35">
      <c r="A84" s="30">
        <v>2199150</v>
      </c>
      <c r="B84" s="30" t="s">
        <v>278</v>
      </c>
      <c r="C84" s="30" t="s">
        <v>279</v>
      </c>
      <c r="D84" s="30" t="s">
        <v>391</v>
      </c>
      <c r="E84" s="30" t="s">
        <v>391</v>
      </c>
      <c r="G84" s="30" t="s">
        <v>121</v>
      </c>
      <c r="H84" s="30" t="s">
        <v>122</v>
      </c>
      <c r="I84" s="30" t="s">
        <v>6</v>
      </c>
      <c r="J84" s="38">
        <v>2.27</v>
      </c>
      <c r="K84" s="38">
        <v>1.48</v>
      </c>
      <c r="L84" s="38">
        <v>61</v>
      </c>
      <c r="M84" s="38">
        <v>81</v>
      </c>
      <c r="N84" s="59">
        <v>20</v>
      </c>
      <c r="O84" s="30">
        <v>288.92</v>
      </c>
      <c r="P84" s="30">
        <v>207.68</v>
      </c>
      <c r="Q84" s="40">
        <f t="shared" ref="Q84:Q125" si="28">0.133*N84+0.64</f>
        <v>3.3000000000000003</v>
      </c>
      <c r="R84" s="38">
        <f t="shared" si="21"/>
        <v>2.0500000000000003</v>
      </c>
      <c r="S84" s="38"/>
      <c r="T84" s="38"/>
      <c r="U84" s="44" t="str">
        <f t="shared" si="18"/>
        <v>Pass</v>
      </c>
      <c r="V84" s="28" t="str">
        <f t="shared" si="22"/>
        <v>Pass</v>
      </c>
      <c r="W84" s="28" t="str">
        <f t="shared" si="23"/>
        <v>Pass</v>
      </c>
      <c r="X84" s="28" t="str">
        <f t="shared" si="24"/>
        <v>Pass</v>
      </c>
      <c r="Y84" s="28" t="str">
        <f t="shared" si="25"/>
        <v>Pass</v>
      </c>
      <c r="Z84" s="29"/>
    </row>
    <row r="85" spans="1:47" x14ac:dyDescent="0.35">
      <c r="A85" s="30">
        <v>2212310</v>
      </c>
      <c r="B85" s="30" t="s">
        <v>278</v>
      </c>
      <c r="C85" s="30" t="s">
        <v>279</v>
      </c>
      <c r="D85" s="30" t="s">
        <v>393</v>
      </c>
      <c r="E85" s="30" t="s">
        <v>393</v>
      </c>
      <c r="G85" s="30" t="s">
        <v>121</v>
      </c>
      <c r="H85" s="30" t="s">
        <v>123</v>
      </c>
      <c r="I85" s="30" t="s">
        <v>6</v>
      </c>
      <c r="J85" s="38">
        <v>2.78</v>
      </c>
      <c r="K85" s="38">
        <v>2.1</v>
      </c>
      <c r="L85" s="38">
        <v>55</v>
      </c>
      <c r="M85" s="38">
        <v>77</v>
      </c>
      <c r="N85" s="59">
        <v>20</v>
      </c>
      <c r="O85" s="30">
        <v>266.85000000000002</v>
      </c>
      <c r="P85" s="30">
        <v>212.88</v>
      </c>
      <c r="Q85" s="40">
        <f t="shared" si="28"/>
        <v>3.3000000000000003</v>
      </c>
      <c r="R85" s="38">
        <f t="shared" si="21"/>
        <v>2.0500000000000003</v>
      </c>
      <c r="S85" s="38"/>
      <c r="T85" s="38"/>
      <c r="U85" s="44" t="str">
        <f t="shared" si="18"/>
        <v>Fail</v>
      </c>
      <c r="V85" s="28" t="str">
        <f t="shared" si="22"/>
        <v>Pass</v>
      </c>
      <c r="W85" s="28" t="str">
        <f t="shared" si="23"/>
        <v>Fail</v>
      </c>
      <c r="X85" s="28" t="str">
        <f t="shared" si="24"/>
        <v>Fail</v>
      </c>
      <c r="Y85" s="28" t="str">
        <f t="shared" si="25"/>
        <v>Fail</v>
      </c>
      <c r="Z85" s="29"/>
    </row>
    <row r="86" spans="1:47" x14ac:dyDescent="0.35">
      <c r="A86" s="30" t="s">
        <v>236</v>
      </c>
      <c r="B86" s="31" t="s">
        <v>278</v>
      </c>
      <c r="C86" s="31" t="s">
        <v>279</v>
      </c>
      <c r="D86" s="31" t="s">
        <v>399</v>
      </c>
      <c r="E86" s="31"/>
      <c r="F86" s="31"/>
      <c r="G86" s="31"/>
      <c r="H86" s="31"/>
      <c r="I86" s="31"/>
      <c r="J86" s="32">
        <v>1.88</v>
      </c>
      <c r="K86" s="32">
        <v>0.99</v>
      </c>
      <c r="L86" s="32">
        <v>57</v>
      </c>
      <c r="M86" s="32">
        <v>76</v>
      </c>
      <c r="N86" s="43">
        <v>6</v>
      </c>
      <c r="O86" s="31">
        <v>115</v>
      </c>
      <c r="P86" s="31">
        <v>64</v>
      </c>
      <c r="Q86" s="40">
        <f>0.133*N86+0.64</f>
        <v>1.4380000000000002</v>
      </c>
      <c r="R86" s="38">
        <f t="shared" si="21"/>
        <v>0.89500000000000002</v>
      </c>
      <c r="S86" s="38"/>
      <c r="T86" s="38"/>
      <c r="U86" s="44" t="str">
        <f t="shared" si="18"/>
        <v>Fail</v>
      </c>
      <c r="V86" s="28" t="str">
        <f t="shared" si="22"/>
        <v>Fail</v>
      </c>
      <c r="W86" s="28" t="str">
        <f t="shared" si="23"/>
        <v>Fail</v>
      </c>
      <c r="X86" s="28" t="str">
        <f t="shared" si="24"/>
        <v>Fail</v>
      </c>
      <c r="Y86" s="28" t="str">
        <f t="shared" si="25"/>
        <v>Fail</v>
      </c>
      <c r="Z86" s="29">
        <v>0.63</v>
      </c>
    </row>
    <row r="87" spans="1:47" x14ac:dyDescent="0.35">
      <c r="A87" s="30">
        <v>2199147</v>
      </c>
      <c r="B87" s="30" t="s">
        <v>278</v>
      </c>
      <c r="C87" s="30" t="s">
        <v>279</v>
      </c>
      <c r="D87" s="30" t="s">
        <v>389</v>
      </c>
      <c r="E87" s="30" t="s">
        <v>389</v>
      </c>
      <c r="G87" s="30" t="s">
        <v>121</v>
      </c>
      <c r="H87" s="30" t="s">
        <v>123</v>
      </c>
      <c r="I87" s="30" t="s">
        <v>6</v>
      </c>
      <c r="J87" s="38">
        <v>0.98</v>
      </c>
      <c r="K87" s="38">
        <v>0.84</v>
      </c>
      <c r="L87" s="38">
        <v>58</v>
      </c>
      <c r="M87" s="38">
        <v>76</v>
      </c>
      <c r="N87" s="59">
        <v>6</v>
      </c>
      <c r="O87" s="30">
        <v>86.8</v>
      </c>
      <c r="P87" s="30">
        <v>63.56</v>
      </c>
      <c r="Q87" s="40">
        <f t="shared" si="28"/>
        <v>1.4380000000000002</v>
      </c>
      <c r="R87" s="38">
        <f t="shared" si="21"/>
        <v>0.89500000000000002</v>
      </c>
      <c r="S87" s="38"/>
      <c r="T87" s="38"/>
      <c r="U87" s="44" t="str">
        <f t="shared" si="18"/>
        <v>Fail</v>
      </c>
      <c r="V87" s="28" t="str">
        <f t="shared" si="22"/>
        <v>Pass</v>
      </c>
      <c r="W87" s="28" t="str">
        <f t="shared" si="23"/>
        <v>Pass</v>
      </c>
      <c r="X87" s="28" t="str">
        <f t="shared" si="24"/>
        <v>Fail</v>
      </c>
      <c r="Y87" s="28" t="str">
        <f t="shared" si="25"/>
        <v>Fail</v>
      </c>
      <c r="Z87" s="29"/>
    </row>
    <row r="88" spans="1:47" x14ac:dyDescent="0.35">
      <c r="A88" s="30" t="s">
        <v>236</v>
      </c>
      <c r="B88" s="31" t="s">
        <v>278</v>
      </c>
      <c r="C88" s="31" t="s">
        <v>279</v>
      </c>
      <c r="D88" s="31" t="s">
        <v>400</v>
      </c>
      <c r="E88" s="31"/>
      <c r="F88" s="31"/>
      <c r="G88" s="31"/>
      <c r="H88" s="31"/>
      <c r="I88" s="31"/>
      <c r="J88" s="32">
        <v>2</v>
      </c>
      <c r="K88" s="32">
        <v>1.32</v>
      </c>
      <c r="L88" s="32">
        <v>63</v>
      </c>
      <c r="M88" s="32">
        <v>79</v>
      </c>
      <c r="N88" s="43">
        <v>12</v>
      </c>
      <c r="O88" s="31">
        <v>202</v>
      </c>
      <c r="P88" s="31">
        <v>128</v>
      </c>
      <c r="Q88" s="40">
        <f t="shared" si="28"/>
        <v>2.2360000000000002</v>
      </c>
      <c r="R88" s="38">
        <f t="shared" si="21"/>
        <v>1.3900000000000001</v>
      </c>
      <c r="S88" s="38"/>
      <c r="T88" s="38"/>
      <c r="U88" s="44" t="str">
        <f t="shared" si="18"/>
        <v>Pass</v>
      </c>
      <c r="V88" s="28" t="str">
        <f t="shared" si="22"/>
        <v>Pass</v>
      </c>
      <c r="W88" s="28" t="str">
        <f t="shared" si="23"/>
        <v>Pass</v>
      </c>
      <c r="X88" s="28" t="str">
        <f t="shared" si="24"/>
        <v>Pass</v>
      </c>
      <c r="Y88" s="28" t="str">
        <f t="shared" si="25"/>
        <v>Pass</v>
      </c>
      <c r="Z88" s="29">
        <v>0.96</v>
      </c>
    </row>
    <row r="89" spans="1:47" x14ac:dyDescent="0.35">
      <c r="A89" s="30">
        <v>2199148</v>
      </c>
      <c r="B89" s="30" t="s">
        <v>278</v>
      </c>
      <c r="C89" s="30" t="s">
        <v>279</v>
      </c>
      <c r="D89" s="30" t="s">
        <v>390</v>
      </c>
      <c r="E89" s="30" t="s">
        <v>390</v>
      </c>
      <c r="G89" s="30" t="s">
        <v>121</v>
      </c>
      <c r="H89" s="30" t="s">
        <v>122</v>
      </c>
      <c r="I89" s="30" t="s">
        <v>6</v>
      </c>
      <c r="J89" s="38">
        <v>0.88</v>
      </c>
      <c r="K89" s="38">
        <v>1.31</v>
      </c>
      <c r="L89" s="38">
        <v>76</v>
      </c>
      <c r="M89" s="38">
        <v>78</v>
      </c>
      <c r="N89" s="59">
        <v>12</v>
      </c>
      <c r="O89" s="30">
        <v>210.34</v>
      </c>
      <c r="P89" s="30">
        <v>121.01</v>
      </c>
      <c r="Q89" s="40">
        <f t="shared" si="28"/>
        <v>2.2360000000000002</v>
      </c>
      <c r="R89" s="38">
        <f t="shared" si="21"/>
        <v>1.3900000000000001</v>
      </c>
      <c r="S89" s="38"/>
      <c r="T89" s="38"/>
      <c r="U89" s="44" t="str">
        <f t="shared" si="18"/>
        <v>Pass</v>
      </c>
      <c r="V89" s="28" t="str">
        <f t="shared" si="22"/>
        <v>Pass</v>
      </c>
      <c r="W89" s="28" t="str">
        <f t="shared" si="23"/>
        <v>Pass</v>
      </c>
      <c r="X89" s="28" t="str">
        <f t="shared" si="24"/>
        <v>Pass</v>
      </c>
      <c r="Y89" s="28" t="str">
        <f t="shared" si="25"/>
        <v>Pass</v>
      </c>
      <c r="Z89" s="29"/>
    </row>
    <row r="90" spans="1:47" x14ac:dyDescent="0.35">
      <c r="A90" s="64" t="s">
        <v>217</v>
      </c>
      <c r="B90" s="35" t="s">
        <v>292</v>
      </c>
      <c r="C90" s="35" t="s">
        <v>279</v>
      </c>
      <c r="D90" s="35"/>
      <c r="E90" s="35">
        <v>202</v>
      </c>
      <c r="F90" s="35"/>
      <c r="G90" s="35" t="s">
        <v>121</v>
      </c>
      <c r="H90" s="35" t="s">
        <v>122</v>
      </c>
      <c r="I90" s="35"/>
      <c r="J90" s="36">
        <v>3.76</v>
      </c>
      <c r="K90" s="36">
        <v>3</v>
      </c>
      <c r="L90" s="36">
        <v>66</v>
      </c>
      <c r="M90" s="36">
        <v>78</v>
      </c>
      <c r="N90" s="62">
        <v>40</v>
      </c>
      <c r="O90" s="35">
        <v>549.05999999999995</v>
      </c>
      <c r="P90" s="35">
        <v>392.16</v>
      </c>
      <c r="Q90" s="40">
        <f t="shared" si="28"/>
        <v>5.96</v>
      </c>
      <c r="R90" s="38">
        <f t="shared" si="21"/>
        <v>3.7</v>
      </c>
      <c r="S90" s="38"/>
      <c r="T90" s="38"/>
      <c r="U90" s="44" t="str">
        <f t="shared" si="18"/>
        <v>Pass</v>
      </c>
      <c r="V90" s="28" t="str">
        <f t="shared" si="22"/>
        <v>Pass</v>
      </c>
      <c r="W90" s="28" t="str">
        <f t="shared" si="23"/>
        <v>Pass</v>
      </c>
      <c r="X90" s="28" t="str">
        <f t="shared" si="24"/>
        <v>Pass</v>
      </c>
      <c r="Y90" s="28" t="str">
        <f t="shared" si="25"/>
        <v>Pass</v>
      </c>
      <c r="Z90" s="29"/>
    </row>
    <row r="91" spans="1:47" x14ac:dyDescent="0.35">
      <c r="A91" s="60"/>
      <c r="B91" s="31" t="s">
        <v>279</v>
      </c>
      <c r="C91" s="31" t="s">
        <v>279</v>
      </c>
      <c r="D91" s="31"/>
      <c r="E91" s="31" t="s">
        <v>293</v>
      </c>
      <c r="F91" s="31"/>
      <c r="G91" s="31" t="s">
        <v>121</v>
      </c>
      <c r="H91" s="31" t="s">
        <v>123</v>
      </c>
      <c r="I91" s="31" t="s">
        <v>6</v>
      </c>
      <c r="J91" s="32">
        <v>2.19</v>
      </c>
      <c r="K91" s="32">
        <v>1.1299999999999999</v>
      </c>
      <c r="L91" s="32">
        <v>60</v>
      </c>
      <c r="M91" s="32">
        <v>79</v>
      </c>
      <c r="N91" s="43">
        <v>10</v>
      </c>
      <c r="O91" s="31">
        <v>201</v>
      </c>
      <c r="P91" s="31">
        <v>106</v>
      </c>
      <c r="Q91" s="40">
        <f t="shared" si="28"/>
        <v>1.9700000000000002</v>
      </c>
      <c r="R91" s="38">
        <f t="shared" si="21"/>
        <v>1.2250000000000001</v>
      </c>
      <c r="S91" s="38"/>
      <c r="T91" s="38"/>
      <c r="U91" s="44" t="str">
        <f t="shared" si="18"/>
        <v>Fail</v>
      </c>
      <c r="V91" s="28" t="str">
        <f t="shared" si="22"/>
        <v>Fail</v>
      </c>
      <c r="W91" s="28" t="str">
        <f t="shared" si="23"/>
        <v>Pass</v>
      </c>
      <c r="X91" s="28" t="str">
        <f t="shared" si="24"/>
        <v>Pass</v>
      </c>
      <c r="Y91" s="28" t="str">
        <f t="shared" si="25"/>
        <v>Pass</v>
      </c>
      <c r="Z91" s="29"/>
    </row>
    <row r="92" spans="1:47" x14ac:dyDescent="0.35">
      <c r="A92" s="60"/>
      <c r="B92" s="31" t="s">
        <v>279</v>
      </c>
      <c r="C92" s="31" t="s">
        <v>279</v>
      </c>
      <c r="D92" s="31"/>
      <c r="E92" s="31" t="s">
        <v>294</v>
      </c>
      <c r="F92" s="31"/>
      <c r="G92" s="31" t="s">
        <v>121</v>
      </c>
      <c r="H92" s="31" t="s">
        <v>123</v>
      </c>
      <c r="I92" s="31" t="s">
        <v>6</v>
      </c>
      <c r="J92" s="32">
        <v>2</v>
      </c>
      <c r="K92" s="32">
        <v>1.32</v>
      </c>
      <c r="L92" s="32">
        <v>63</v>
      </c>
      <c r="M92" s="32">
        <v>79</v>
      </c>
      <c r="N92" s="43">
        <v>12</v>
      </c>
      <c r="O92" s="31">
        <v>202</v>
      </c>
      <c r="P92" s="31">
        <v>128</v>
      </c>
      <c r="Q92" s="40">
        <f t="shared" si="28"/>
        <v>2.2360000000000002</v>
      </c>
      <c r="R92" s="38">
        <f t="shared" si="21"/>
        <v>1.3900000000000001</v>
      </c>
      <c r="S92" s="38"/>
      <c r="T92" s="38"/>
      <c r="U92" s="44" t="str">
        <f t="shared" si="18"/>
        <v>Pass</v>
      </c>
      <c r="V92" s="28" t="str">
        <f t="shared" si="22"/>
        <v>Pass</v>
      </c>
      <c r="W92" s="28" t="str">
        <f t="shared" si="23"/>
        <v>Pass</v>
      </c>
      <c r="X92" s="28" t="str">
        <f t="shared" si="24"/>
        <v>Pass</v>
      </c>
      <c r="Y92" s="28" t="str">
        <f t="shared" si="25"/>
        <v>Pass</v>
      </c>
      <c r="Z92" s="29"/>
    </row>
    <row r="93" spans="1:47" s="31" customFormat="1" x14ac:dyDescent="0.35">
      <c r="A93" s="60"/>
      <c r="B93" s="31" t="s">
        <v>279</v>
      </c>
      <c r="C93" s="31" t="s">
        <v>279</v>
      </c>
      <c r="E93" s="31" t="s">
        <v>401</v>
      </c>
      <c r="G93" s="31" t="s">
        <v>121</v>
      </c>
      <c r="H93" s="31" t="s">
        <v>123</v>
      </c>
      <c r="I93" s="31" t="s">
        <v>6</v>
      </c>
      <c r="J93" s="32">
        <v>3.3</v>
      </c>
      <c r="K93" s="32">
        <v>2</v>
      </c>
      <c r="L93" s="32">
        <v>61</v>
      </c>
      <c r="M93" s="32">
        <v>79</v>
      </c>
      <c r="N93" s="43">
        <v>20</v>
      </c>
      <c r="O93" s="31">
        <v>367</v>
      </c>
      <c r="P93" s="31">
        <v>189</v>
      </c>
      <c r="Q93" s="40">
        <f t="shared" si="28"/>
        <v>3.3000000000000003</v>
      </c>
      <c r="R93" s="38">
        <f t="shared" si="21"/>
        <v>2.0500000000000003</v>
      </c>
      <c r="S93" s="38"/>
      <c r="T93" s="38"/>
      <c r="U93" s="44" t="str">
        <f t="shared" si="18"/>
        <v>Pass</v>
      </c>
      <c r="V93" s="28" t="str">
        <f t="shared" si="22"/>
        <v>Pass</v>
      </c>
      <c r="W93" s="28" t="str">
        <f t="shared" si="23"/>
        <v>Pass</v>
      </c>
      <c r="X93" s="28" t="str">
        <f t="shared" si="24"/>
        <v>Pass</v>
      </c>
      <c r="Y93" s="28" t="str">
        <f t="shared" si="25"/>
        <v>Pass</v>
      </c>
      <c r="Z93" s="29"/>
      <c r="AA93" s="30"/>
      <c r="AB93" s="30"/>
      <c r="AC93" s="30"/>
      <c r="AD93" s="30"/>
      <c r="AE93" s="30"/>
      <c r="AF93" s="30"/>
      <c r="AG93" s="30"/>
      <c r="AH93" s="30"/>
      <c r="AI93" s="30"/>
      <c r="AJ93" s="30"/>
      <c r="AK93" s="30"/>
      <c r="AL93" s="30"/>
      <c r="AM93" s="30"/>
      <c r="AN93" s="30"/>
      <c r="AO93" s="30"/>
      <c r="AP93" s="30"/>
      <c r="AQ93" s="30"/>
      <c r="AR93" s="30"/>
      <c r="AS93" s="30"/>
      <c r="AT93" s="30"/>
      <c r="AU93" s="30"/>
    </row>
    <row r="94" spans="1:47" s="31" customFormat="1" x14ac:dyDescent="0.35">
      <c r="A94" s="60"/>
      <c r="B94" s="31" t="s">
        <v>279</v>
      </c>
      <c r="C94" s="31" t="s">
        <v>279</v>
      </c>
      <c r="E94" s="31" t="s">
        <v>295</v>
      </c>
      <c r="G94" s="31" t="s">
        <v>121</v>
      </c>
      <c r="H94" s="31" t="s">
        <v>123</v>
      </c>
      <c r="I94" s="31" t="s">
        <v>6</v>
      </c>
      <c r="J94" s="32">
        <v>1.69</v>
      </c>
      <c r="K94" s="32">
        <v>0.92</v>
      </c>
      <c r="L94" s="32">
        <v>58</v>
      </c>
      <c r="M94" s="32">
        <v>76</v>
      </c>
      <c r="N94" s="43">
        <v>6</v>
      </c>
      <c r="O94" s="31">
        <v>111</v>
      </c>
      <c r="P94" s="31">
        <v>63</v>
      </c>
      <c r="Q94" s="40">
        <f t="shared" si="28"/>
        <v>1.4380000000000002</v>
      </c>
      <c r="R94" s="38">
        <f t="shared" si="21"/>
        <v>0.89500000000000002</v>
      </c>
      <c r="S94" s="38"/>
      <c r="T94" s="38"/>
      <c r="U94" s="44" t="str">
        <f t="shared" si="18"/>
        <v>Fail</v>
      </c>
      <c r="V94" s="28" t="str">
        <f t="shared" si="22"/>
        <v>Fail</v>
      </c>
      <c r="W94" s="28" t="str">
        <f t="shared" si="23"/>
        <v>Fail</v>
      </c>
      <c r="X94" s="28" t="str">
        <f t="shared" si="24"/>
        <v>Fail</v>
      </c>
      <c r="Y94" s="28" t="str">
        <f t="shared" si="25"/>
        <v>Fail</v>
      </c>
      <c r="Z94" s="29"/>
      <c r="AA94" s="30"/>
      <c r="AB94" s="30"/>
      <c r="AC94" s="30"/>
      <c r="AD94" s="30"/>
      <c r="AE94" s="30"/>
      <c r="AF94" s="30"/>
      <c r="AG94" s="30"/>
      <c r="AH94" s="30"/>
      <c r="AI94" s="30"/>
      <c r="AJ94" s="30"/>
      <c r="AK94" s="30"/>
      <c r="AL94" s="30"/>
      <c r="AM94" s="30"/>
      <c r="AN94" s="30"/>
      <c r="AO94" s="30"/>
      <c r="AP94" s="30"/>
      <c r="AQ94" s="30"/>
      <c r="AR94" s="30"/>
      <c r="AS94" s="30"/>
      <c r="AT94" s="30"/>
      <c r="AU94" s="30"/>
    </row>
    <row r="95" spans="1:47" s="31" customFormat="1" x14ac:dyDescent="0.35">
      <c r="A95" s="60"/>
      <c r="B95" s="31" t="s">
        <v>279</v>
      </c>
      <c r="C95" s="31" t="s">
        <v>279</v>
      </c>
      <c r="E95" s="31" t="s">
        <v>296</v>
      </c>
      <c r="G95" s="31" t="s">
        <v>121</v>
      </c>
      <c r="H95" s="31" t="s">
        <v>123</v>
      </c>
      <c r="I95" s="31" t="s">
        <v>6</v>
      </c>
      <c r="J95" s="32">
        <v>1.88</v>
      </c>
      <c r="K95" s="32">
        <v>0.99</v>
      </c>
      <c r="L95" s="32">
        <v>57</v>
      </c>
      <c r="M95" s="32">
        <v>76</v>
      </c>
      <c r="N95" s="43">
        <v>6</v>
      </c>
      <c r="O95" s="31">
        <v>115</v>
      </c>
      <c r="P95" s="31">
        <v>64</v>
      </c>
      <c r="Q95" s="40">
        <f t="shared" si="28"/>
        <v>1.4380000000000002</v>
      </c>
      <c r="R95" s="38">
        <f t="shared" si="21"/>
        <v>0.89500000000000002</v>
      </c>
      <c r="S95" s="38"/>
      <c r="T95" s="38"/>
      <c r="U95" s="44" t="str">
        <f t="shared" si="18"/>
        <v>Fail</v>
      </c>
      <c r="V95" s="28" t="str">
        <f t="shared" si="22"/>
        <v>Fail</v>
      </c>
      <c r="W95" s="28" t="str">
        <f t="shared" si="23"/>
        <v>Fail</v>
      </c>
      <c r="X95" s="28" t="str">
        <f t="shared" si="24"/>
        <v>Fail</v>
      </c>
      <c r="Y95" s="28" t="str">
        <f t="shared" si="25"/>
        <v>Fail</v>
      </c>
      <c r="Z95" s="29"/>
      <c r="AA95" s="30"/>
      <c r="AB95" s="30"/>
      <c r="AC95" s="30"/>
      <c r="AD95" s="30"/>
      <c r="AE95" s="30"/>
      <c r="AF95" s="30"/>
      <c r="AG95" s="30"/>
      <c r="AH95" s="30"/>
      <c r="AI95" s="30"/>
      <c r="AJ95" s="30"/>
      <c r="AK95" s="30"/>
      <c r="AL95" s="30"/>
      <c r="AM95" s="30"/>
      <c r="AN95" s="30"/>
      <c r="AO95" s="30"/>
      <c r="AP95" s="30"/>
      <c r="AQ95" s="30"/>
      <c r="AR95" s="30"/>
      <c r="AS95" s="30"/>
      <c r="AT95" s="30"/>
      <c r="AU95" s="30"/>
    </row>
    <row r="96" spans="1:47" s="31" customFormat="1" x14ac:dyDescent="0.35">
      <c r="A96" s="30">
        <v>2331756</v>
      </c>
      <c r="B96" s="30" t="s">
        <v>297</v>
      </c>
      <c r="C96" s="30" t="s">
        <v>297</v>
      </c>
      <c r="D96" s="30" t="s">
        <v>298</v>
      </c>
      <c r="E96" s="30" t="s">
        <v>298</v>
      </c>
      <c r="F96" s="30"/>
      <c r="G96" s="30" t="s">
        <v>121</v>
      </c>
      <c r="H96" s="30" t="s">
        <v>123</v>
      </c>
      <c r="I96" s="30" t="s">
        <v>6</v>
      </c>
      <c r="J96" s="38">
        <v>1.1299999999999999</v>
      </c>
      <c r="K96" s="38">
        <v>1.01</v>
      </c>
      <c r="L96" s="38">
        <v>68</v>
      </c>
      <c r="M96" s="38">
        <v>81</v>
      </c>
      <c r="N96" s="59">
        <v>10</v>
      </c>
      <c r="O96" s="30">
        <v>179</v>
      </c>
      <c r="P96" s="30">
        <v>96.6</v>
      </c>
      <c r="Q96" s="40">
        <f t="shared" si="28"/>
        <v>1.9700000000000002</v>
      </c>
      <c r="R96" s="38">
        <f t="shared" si="21"/>
        <v>1.2250000000000001</v>
      </c>
      <c r="S96" s="38"/>
      <c r="T96" s="38"/>
      <c r="U96" s="44" t="str">
        <f t="shared" si="18"/>
        <v>Pass</v>
      </c>
      <c r="V96" s="28" t="str">
        <f t="shared" si="22"/>
        <v>Pass</v>
      </c>
      <c r="W96" s="28" t="str">
        <f t="shared" si="23"/>
        <v>Pass</v>
      </c>
      <c r="X96" s="28" t="str">
        <f t="shared" si="24"/>
        <v>Pass</v>
      </c>
      <c r="Y96" s="28" t="str">
        <f t="shared" si="25"/>
        <v>Pass</v>
      </c>
      <c r="Z96" s="29"/>
      <c r="AA96" s="30"/>
      <c r="AB96" s="30"/>
      <c r="AC96" s="30"/>
      <c r="AD96" s="30"/>
      <c r="AE96" s="30"/>
      <c r="AF96" s="30"/>
      <c r="AG96" s="30"/>
      <c r="AH96" s="30"/>
      <c r="AI96" s="30"/>
      <c r="AJ96" s="30"/>
      <c r="AK96" s="30"/>
      <c r="AL96" s="30"/>
      <c r="AM96" s="30"/>
      <c r="AN96" s="30"/>
      <c r="AO96" s="30"/>
      <c r="AP96" s="30"/>
      <c r="AQ96" s="30"/>
      <c r="AR96" s="30"/>
      <c r="AS96" s="30"/>
      <c r="AT96" s="30"/>
      <c r="AU96" s="30"/>
    </row>
    <row r="97" spans="1:47" s="31" customFormat="1" x14ac:dyDescent="0.35">
      <c r="A97" s="30">
        <v>2345783</v>
      </c>
      <c r="B97" s="30" t="s">
        <v>299</v>
      </c>
      <c r="C97" s="30" t="s">
        <v>299</v>
      </c>
      <c r="D97" s="30" t="s">
        <v>318</v>
      </c>
      <c r="E97" s="30" t="s">
        <v>318</v>
      </c>
      <c r="F97" s="30" t="s">
        <v>394</v>
      </c>
      <c r="G97" s="30" t="s">
        <v>121</v>
      </c>
      <c r="H97" s="30" t="s">
        <v>123</v>
      </c>
      <c r="I97" s="30" t="s">
        <v>6</v>
      </c>
      <c r="J97" s="38">
        <v>1.18</v>
      </c>
      <c r="K97" s="38">
        <v>0.75</v>
      </c>
      <c r="L97" s="38">
        <v>67</v>
      </c>
      <c r="M97" s="38">
        <v>77</v>
      </c>
      <c r="N97" s="59">
        <v>5</v>
      </c>
      <c r="O97" s="30">
        <v>59.9</v>
      </c>
      <c r="P97" s="30">
        <v>51.97</v>
      </c>
      <c r="Q97" s="40">
        <f t="shared" si="28"/>
        <v>1.3050000000000002</v>
      </c>
      <c r="R97" s="38">
        <f t="shared" si="21"/>
        <v>0.8125</v>
      </c>
      <c r="S97" s="38"/>
      <c r="T97" s="38"/>
      <c r="U97" s="44" t="str">
        <f t="shared" si="18"/>
        <v>Fail</v>
      </c>
      <c r="V97" s="28" t="str">
        <f t="shared" si="22"/>
        <v>Pass</v>
      </c>
      <c r="W97" s="28" t="str">
        <f t="shared" si="23"/>
        <v>Pass</v>
      </c>
      <c r="X97" s="28" t="str">
        <f t="shared" si="24"/>
        <v>Pass</v>
      </c>
      <c r="Y97" s="28" t="str">
        <f t="shared" si="25"/>
        <v>Fail</v>
      </c>
      <c r="Z97" s="29"/>
      <c r="AA97" s="30"/>
      <c r="AB97" s="30"/>
      <c r="AC97" s="30"/>
      <c r="AD97" s="30"/>
      <c r="AE97" s="30"/>
      <c r="AF97" s="30"/>
      <c r="AG97" s="30"/>
      <c r="AH97" s="30"/>
      <c r="AI97" s="30"/>
      <c r="AJ97" s="30"/>
      <c r="AK97" s="30"/>
      <c r="AL97" s="30"/>
      <c r="AM97" s="30"/>
      <c r="AN97" s="30"/>
      <c r="AO97" s="30"/>
      <c r="AP97" s="30"/>
      <c r="AQ97" s="30"/>
      <c r="AR97" s="30"/>
      <c r="AS97" s="30"/>
      <c r="AT97" s="30"/>
      <c r="AU97" s="30"/>
    </row>
    <row r="98" spans="1:47" s="31" customFormat="1" x14ac:dyDescent="0.35">
      <c r="A98" s="30">
        <v>2268435</v>
      </c>
      <c r="B98" s="30" t="s">
        <v>299</v>
      </c>
      <c r="C98" s="30" t="s">
        <v>299</v>
      </c>
      <c r="D98" s="30" t="s">
        <v>319</v>
      </c>
      <c r="E98" s="30" t="s">
        <v>319</v>
      </c>
      <c r="F98" s="30" t="s">
        <v>320</v>
      </c>
      <c r="G98" s="30" t="s">
        <v>121</v>
      </c>
      <c r="H98" s="30" t="s">
        <v>123</v>
      </c>
      <c r="I98" s="30" t="s">
        <v>6</v>
      </c>
      <c r="J98" s="38">
        <v>0.76</v>
      </c>
      <c r="K98" s="38">
        <v>0.81</v>
      </c>
      <c r="L98" s="38">
        <v>63</v>
      </c>
      <c r="M98" s="38">
        <v>76</v>
      </c>
      <c r="N98" s="59">
        <v>5</v>
      </c>
      <c r="O98" s="30">
        <v>58.96</v>
      </c>
      <c r="P98" s="30">
        <v>46.08</v>
      </c>
      <c r="Q98" s="40">
        <f t="shared" si="28"/>
        <v>1.3050000000000002</v>
      </c>
      <c r="R98" s="38">
        <f t="shared" si="21"/>
        <v>0.8125</v>
      </c>
      <c r="S98" s="38"/>
      <c r="T98" s="38"/>
      <c r="U98" s="44" t="str">
        <f t="shared" si="18"/>
        <v>Fail</v>
      </c>
      <c r="V98" s="28" t="str">
        <f t="shared" si="22"/>
        <v>Pass</v>
      </c>
      <c r="W98" s="28" t="str">
        <f t="shared" si="23"/>
        <v>Pass</v>
      </c>
      <c r="X98" s="28" t="str">
        <f t="shared" si="24"/>
        <v>Pass</v>
      </c>
      <c r="Y98" s="28" t="str">
        <f t="shared" si="25"/>
        <v>Fail</v>
      </c>
      <c r="Z98" s="29"/>
      <c r="AA98" s="30"/>
      <c r="AB98" s="30"/>
      <c r="AC98" s="30"/>
      <c r="AD98" s="30"/>
      <c r="AE98" s="30"/>
      <c r="AF98" s="30"/>
      <c r="AG98" s="30"/>
      <c r="AH98" s="30"/>
      <c r="AI98" s="30"/>
      <c r="AJ98" s="30"/>
      <c r="AK98" s="30"/>
      <c r="AL98" s="30"/>
      <c r="AM98" s="30"/>
      <c r="AN98" s="30"/>
      <c r="AO98" s="30"/>
      <c r="AP98" s="30"/>
      <c r="AQ98" s="30"/>
      <c r="AR98" s="30"/>
      <c r="AS98" s="30"/>
      <c r="AT98" s="30"/>
      <c r="AU98" s="30"/>
    </row>
    <row r="99" spans="1:47" s="31" customFormat="1" x14ac:dyDescent="0.35">
      <c r="A99" s="30">
        <v>2268436</v>
      </c>
      <c r="B99" s="30" t="s">
        <v>299</v>
      </c>
      <c r="C99" s="30" t="s">
        <v>299</v>
      </c>
      <c r="D99" s="30" t="s">
        <v>319</v>
      </c>
      <c r="E99" s="30" t="s">
        <v>319</v>
      </c>
      <c r="F99" s="30" t="s">
        <v>321</v>
      </c>
      <c r="G99" s="30" t="s">
        <v>121</v>
      </c>
      <c r="H99" s="30" t="s">
        <v>123</v>
      </c>
      <c r="I99" s="30" t="s">
        <v>6</v>
      </c>
      <c r="J99" s="38">
        <v>0.69</v>
      </c>
      <c r="K99" s="38">
        <v>0.81</v>
      </c>
      <c r="L99" s="38">
        <v>65</v>
      </c>
      <c r="M99" s="38">
        <v>78</v>
      </c>
      <c r="N99" s="59">
        <v>5</v>
      </c>
      <c r="O99" s="30">
        <v>59.97</v>
      </c>
      <c r="P99" s="30">
        <v>51.13</v>
      </c>
      <c r="Q99" s="40">
        <f t="shared" si="28"/>
        <v>1.3050000000000002</v>
      </c>
      <c r="R99" s="38">
        <f t="shared" si="21"/>
        <v>0.8125</v>
      </c>
      <c r="S99" s="38"/>
      <c r="T99" s="38"/>
      <c r="U99" s="44" t="str">
        <f t="shared" si="18"/>
        <v>Pass</v>
      </c>
      <c r="V99" s="28" t="str">
        <f t="shared" si="22"/>
        <v>Pass</v>
      </c>
      <c r="W99" s="28" t="str">
        <f t="shared" si="23"/>
        <v>Pass</v>
      </c>
      <c r="X99" s="28" t="str">
        <f t="shared" si="24"/>
        <v>Pass</v>
      </c>
      <c r="Y99" s="28" t="str">
        <f t="shared" si="25"/>
        <v>Pass</v>
      </c>
      <c r="Z99" s="29"/>
      <c r="AA99" s="30"/>
      <c r="AB99" s="30"/>
      <c r="AC99" s="30"/>
      <c r="AD99" s="30"/>
      <c r="AE99" s="30"/>
      <c r="AF99" s="30"/>
      <c r="AG99" s="30"/>
      <c r="AH99" s="30"/>
      <c r="AI99" s="30"/>
      <c r="AJ99" s="30"/>
      <c r="AK99" s="30"/>
      <c r="AL99" s="30"/>
      <c r="AM99" s="30"/>
      <c r="AN99" s="30"/>
      <c r="AO99" s="30"/>
      <c r="AP99" s="30"/>
      <c r="AQ99" s="30"/>
      <c r="AR99" s="30"/>
      <c r="AS99" s="30"/>
      <c r="AT99" s="30"/>
      <c r="AU99" s="30"/>
    </row>
    <row r="100" spans="1:47" s="31" customFormat="1" x14ac:dyDescent="0.35">
      <c r="A100" s="30">
        <v>2263533</v>
      </c>
      <c r="B100" s="30" t="s">
        <v>299</v>
      </c>
      <c r="C100" s="30" t="s">
        <v>299</v>
      </c>
      <c r="D100" s="30" t="s">
        <v>300</v>
      </c>
      <c r="E100" s="30" t="s">
        <v>300</v>
      </c>
      <c r="F100" s="30"/>
      <c r="G100" s="30" t="s">
        <v>121</v>
      </c>
      <c r="H100" s="30" t="s">
        <v>122</v>
      </c>
      <c r="I100" s="30" t="s">
        <v>6</v>
      </c>
      <c r="J100" s="38">
        <v>1.33</v>
      </c>
      <c r="K100" s="38">
        <v>1.1299999999999999</v>
      </c>
      <c r="L100" s="38">
        <v>65</v>
      </c>
      <c r="M100" s="38">
        <v>79</v>
      </c>
      <c r="N100" s="59">
        <v>12</v>
      </c>
      <c r="O100" s="30">
        <v>179.1</v>
      </c>
      <c r="P100" s="30">
        <v>116.6</v>
      </c>
      <c r="Q100" s="40">
        <f t="shared" si="28"/>
        <v>2.2360000000000002</v>
      </c>
      <c r="R100" s="38">
        <f t="shared" si="21"/>
        <v>1.3900000000000001</v>
      </c>
      <c r="S100" s="38"/>
      <c r="T100" s="38"/>
      <c r="U100" s="44" t="str">
        <f t="shared" si="18"/>
        <v>Pass</v>
      </c>
      <c r="V100" s="28" t="str">
        <f t="shared" si="22"/>
        <v>Pass</v>
      </c>
      <c r="W100" s="28" t="str">
        <f t="shared" si="23"/>
        <v>Pass</v>
      </c>
      <c r="X100" s="28" t="str">
        <f t="shared" si="24"/>
        <v>Pass</v>
      </c>
      <c r="Y100" s="28" t="str">
        <f t="shared" si="25"/>
        <v>Pass</v>
      </c>
      <c r="Z100" s="29">
        <v>0.95</v>
      </c>
      <c r="AA100" s="30"/>
      <c r="AB100" s="30"/>
      <c r="AC100" s="30"/>
      <c r="AD100" s="30"/>
      <c r="AE100" s="30"/>
      <c r="AF100" s="30"/>
      <c r="AG100" s="30"/>
      <c r="AH100" s="30"/>
      <c r="AI100" s="30"/>
      <c r="AJ100" s="30"/>
      <c r="AK100" s="30"/>
      <c r="AL100" s="30"/>
      <c r="AM100" s="30"/>
      <c r="AN100" s="30"/>
      <c r="AO100" s="30"/>
      <c r="AP100" s="30"/>
      <c r="AQ100" s="30"/>
      <c r="AR100" s="30"/>
      <c r="AS100" s="30"/>
      <c r="AT100" s="30"/>
      <c r="AU100" s="30"/>
    </row>
    <row r="101" spans="1:47" s="31" customFormat="1" x14ac:dyDescent="0.35">
      <c r="A101" s="30">
        <v>2277280</v>
      </c>
      <c r="B101" s="30" t="s">
        <v>299</v>
      </c>
      <c r="C101" s="30" t="s">
        <v>299</v>
      </c>
      <c r="D101" s="30" t="s">
        <v>301</v>
      </c>
      <c r="E101" s="30" t="s">
        <v>301</v>
      </c>
      <c r="F101" s="30" t="s">
        <v>302</v>
      </c>
      <c r="G101" s="30" t="s">
        <v>121</v>
      </c>
      <c r="H101" s="30" t="s">
        <v>123</v>
      </c>
      <c r="I101" s="30" t="s">
        <v>6</v>
      </c>
      <c r="J101" s="38">
        <v>1.1100000000000001</v>
      </c>
      <c r="K101" s="38">
        <v>1.25</v>
      </c>
      <c r="L101" s="38">
        <v>63</v>
      </c>
      <c r="M101" s="38">
        <v>79</v>
      </c>
      <c r="N101" s="59">
        <v>10</v>
      </c>
      <c r="O101" s="30">
        <v>108.16</v>
      </c>
      <c r="P101" s="30">
        <v>87.39</v>
      </c>
      <c r="Q101" s="40">
        <f t="shared" si="28"/>
        <v>1.9700000000000002</v>
      </c>
      <c r="R101" s="38">
        <f t="shared" si="21"/>
        <v>1.2250000000000001</v>
      </c>
      <c r="S101" s="38"/>
      <c r="T101" s="38"/>
      <c r="U101" s="44" t="str">
        <f t="shared" si="18"/>
        <v>Fail</v>
      </c>
      <c r="V101" s="28" t="str">
        <f t="shared" si="22"/>
        <v>Pass</v>
      </c>
      <c r="W101" s="28" t="str">
        <f t="shared" si="23"/>
        <v>Fail</v>
      </c>
      <c r="X101" s="28" t="str">
        <f t="shared" si="24"/>
        <v>Pass</v>
      </c>
      <c r="Y101" s="28" t="str">
        <f t="shared" si="25"/>
        <v>Pass</v>
      </c>
      <c r="Z101" s="29"/>
      <c r="AA101" s="30"/>
      <c r="AB101" s="30"/>
      <c r="AC101" s="30"/>
      <c r="AD101" s="30"/>
      <c r="AE101" s="30"/>
      <c r="AF101" s="30"/>
      <c r="AG101" s="30"/>
      <c r="AH101" s="30"/>
      <c r="AI101" s="30"/>
      <c r="AJ101" s="30"/>
      <c r="AK101" s="30"/>
      <c r="AL101" s="30"/>
      <c r="AM101" s="30"/>
      <c r="AN101" s="30"/>
      <c r="AO101" s="30"/>
      <c r="AP101" s="30"/>
      <c r="AQ101" s="30"/>
      <c r="AR101" s="30"/>
      <c r="AS101" s="30"/>
      <c r="AT101" s="30"/>
      <c r="AU101" s="30"/>
    </row>
    <row r="102" spans="1:47" s="31" customFormat="1" x14ac:dyDescent="0.35">
      <c r="A102" s="30">
        <v>2277281</v>
      </c>
      <c r="B102" s="30" t="s">
        <v>299</v>
      </c>
      <c r="C102" s="30" t="s">
        <v>299</v>
      </c>
      <c r="D102" s="30" t="s">
        <v>301</v>
      </c>
      <c r="E102" s="30" t="s">
        <v>301</v>
      </c>
      <c r="F102" s="30" t="s">
        <v>302</v>
      </c>
      <c r="G102" s="30" t="s">
        <v>121</v>
      </c>
      <c r="H102" s="30" t="s">
        <v>123</v>
      </c>
      <c r="I102" s="30" t="s">
        <v>6</v>
      </c>
      <c r="J102" s="38">
        <v>1.0900000000000001</v>
      </c>
      <c r="K102" s="38">
        <v>1.27</v>
      </c>
      <c r="L102" s="38">
        <v>68</v>
      </c>
      <c r="M102" s="38">
        <v>82</v>
      </c>
      <c r="N102" s="59">
        <v>10</v>
      </c>
      <c r="O102" s="30">
        <v>97.14</v>
      </c>
      <c r="P102" s="30">
        <v>94.05</v>
      </c>
      <c r="Q102" s="40">
        <f t="shared" si="28"/>
        <v>1.9700000000000002</v>
      </c>
      <c r="R102" s="38">
        <f t="shared" si="21"/>
        <v>1.2250000000000001</v>
      </c>
      <c r="S102" s="38"/>
      <c r="T102" s="38"/>
      <c r="U102" s="44" t="str">
        <f t="shared" si="18"/>
        <v>Fail</v>
      </c>
      <c r="V102" s="28" t="str">
        <f t="shared" si="22"/>
        <v>Pass</v>
      </c>
      <c r="W102" s="28" t="str">
        <f t="shared" si="23"/>
        <v>Fail</v>
      </c>
      <c r="X102" s="28" t="str">
        <f t="shared" si="24"/>
        <v>Pass</v>
      </c>
      <c r="Y102" s="28" t="str">
        <f t="shared" si="25"/>
        <v>Pass</v>
      </c>
      <c r="Z102" s="29"/>
      <c r="AA102" s="30"/>
      <c r="AB102" s="30"/>
      <c r="AC102" s="30"/>
      <c r="AD102" s="30"/>
      <c r="AE102" s="30"/>
      <c r="AF102" s="30"/>
      <c r="AG102" s="30"/>
      <c r="AH102" s="30"/>
      <c r="AI102" s="30"/>
      <c r="AJ102" s="30"/>
      <c r="AK102" s="30"/>
      <c r="AL102" s="30"/>
      <c r="AM102" s="30"/>
      <c r="AN102" s="30"/>
      <c r="AO102" s="30"/>
      <c r="AP102" s="30"/>
      <c r="AQ102" s="30"/>
      <c r="AR102" s="30"/>
      <c r="AS102" s="30"/>
      <c r="AT102" s="30"/>
      <c r="AU102" s="30"/>
    </row>
    <row r="103" spans="1:47" s="31" customFormat="1" x14ac:dyDescent="0.35">
      <c r="A103" s="56">
        <v>2263534</v>
      </c>
      <c r="B103" s="30" t="s">
        <v>299</v>
      </c>
      <c r="C103" s="30" t="s">
        <v>299</v>
      </c>
      <c r="D103" s="30" t="s">
        <v>303</v>
      </c>
      <c r="E103" s="30" t="s">
        <v>303</v>
      </c>
      <c r="F103" s="30"/>
      <c r="G103" s="30" t="s">
        <v>121</v>
      </c>
      <c r="H103" s="30" t="s">
        <v>122</v>
      </c>
      <c r="I103" s="30" t="s">
        <v>6</v>
      </c>
      <c r="J103" s="38">
        <v>1.65</v>
      </c>
      <c r="K103" s="38">
        <v>1.57</v>
      </c>
      <c r="L103" s="38">
        <v>63</v>
      </c>
      <c r="M103" s="38">
        <v>83</v>
      </c>
      <c r="N103" s="59">
        <v>20</v>
      </c>
      <c r="O103" s="30">
        <v>287.39999999999998</v>
      </c>
      <c r="P103" s="30">
        <v>191.7</v>
      </c>
      <c r="Q103" s="40">
        <f t="shared" si="28"/>
        <v>3.3000000000000003</v>
      </c>
      <c r="R103" s="38">
        <f t="shared" si="21"/>
        <v>2.0500000000000003</v>
      </c>
      <c r="S103" s="38"/>
      <c r="T103" s="38"/>
      <c r="U103" s="44" t="str">
        <f t="shared" si="18"/>
        <v>Pass</v>
      </c>
      <c r="V103" s="28" t="str">
        <f t="shared" si="22"/>
        <v>Pass</v>
      </c>
      <c r="W103" s="28" t="str">
        <f t="shared" si="23"/>
        <v>Pass</v>
      </c>
      <c r="X103" s="28" t="str">
        <f t="shared" si="24"/>
        <v>Pass</v>
      </c>
      <c r="Y103" s="28" t="str">
        <f t="shared" si="25"/>
        <v>Pass</v>
      </c>
      <c r="Z103" s="29">
        <v>1.54</v>
      </c>
      <c r="AA103" s="30"/>
      <c r="AB103" s="30"/>
      <c r="AC103" s="30"/>
      <c r="AD103" s="30"/>
      <c r="AE103" s="30"/>
      <c r="AF103" s="30"/>
      <c r="AG103" s="30"/>
      <c r="AH103" s="30"/>
      <c r="AI103" s="30"/>
      <c r="AJ103" s="30"/>
      <c r="AK103" s="30"/>
      <c r="AL103" s="30"/>
      <c r="AM103" s="30"/>
      <c r="AN103" s="30"/>
      <c r="AO103" s="30"/>
      <c r="AP103" s="30"/>
      <c r="AQ103" s="30"/>
      <c r="AR103" s="30"/>
      <c r="AS103" s="30"/>
      <c r="AT103" s="30"/>
      <c r="AU103" s="30"/>
    </row>
    <row r="104" spans="1:47" s="31" customFormat="1" x14ac:dyDescent="0.35">
      <c r="A104" s="30">
        <v>2295145</v>
      </c>
      <c r="B104" s="30" t="s">
        <v>299</v>
      </c>
      <c r="C104" s="30" t="s">
        <v>299</v>
      </c>
      <c r="D104" s="30" t="s">
        <v>322</v>
      </c>
      <c r="E104" s="30" t="s">
        <v>322</v>
      </c>
      <c r="F104" s="30" t="s">
        <v>323</v>
      </c>
      <c r="G104" s="30" t="s">
        <v>121</v>
      </c>
      <c r="H104" s="30" t="s">
        <v>123</v>
      </c>
      <c r="I104" s="30" t="s">
        <v>6</v>
      </c>
      <c r="J104" s="38">
        <v>0.66</v>
      </c>
      <c r="K104" s="38">
        <v>0.73</v>
      </c>
      <c r="L104" s="38">
        <v>65</v>
      </c>
      <c r="M104" s="38">
        <v>81</v>
      </c>
      <c r="N104" s="59">
        <v>5</v>
      </c>
      <c r="O104" s="30">
        <v>65.3</v>
      </c>
      <c r="P104" s="30">
        <v>49.7</v>
      </c>
      <c r="Q104" s="40">
        <f t="shared" si="28"/>
        <v>1.3050000000000002</v>
      </c>
      <c r="R104" s="38">
        <f t="shared" si="21"/>
        <v>0.8125</v>
      </c>
      <c r="S104" s="38"/>
      <c r="T104" s="38"/>
      <c r="U104" s="44" t="str">
        <f t="shared" si="18"/>
        <v>Pass</v>
      </c>
      <c r="V104" s="28" t="str">
        <f t="shared" si="22"/>
        <v>Pass</v>
      </c>
      <c r="W104" s="28" t="str">
        <f t="shared" si="23"/>
        <v>Pass</v>
      </c>
      <c r="X104" s="28" t="str">
        <f t="shared" si="24"/>
        <v>Pass</v>
      </c>
      <c r="Y104" s="28" t="str">
        <f t="shared" si="25"/>
        <v>Pass</v>
      </c>
      <c r="Z104" s="29"/>
      <c r="AA104" s="30"/>
      <c r="AB104" s="30"/>
      <c r="AC104" s="30"/>
      <c r="AD104" s="30"/>
      <c r="AE104" s="30"/>
      <c r="AF104" s="30"/>
      <c r="AG104" s="30"/>
      <c r="AH104" s="30"/>
      <c r="AI104" s="30"/>
      <c r="AJ104" s="30"/>
      <c r="AK104" s="30"/>
      <c r="AL104" s="30"/>
      <c r="AM104" s="30"/>
      <c r="AN104" s="30"/>
      <c r="AO104" s="30"/>
      <c r="AP104" s="30"/>
      <c r="AQ104" s="30"/>
      <c r="AR104" s="30"/>
      <c r="AS104" s="30"/>
      <c r="AT104" s="30"/>
      <c r="AU104" s="30"/>
    </row>
    <row r="105" spans="1:47" s="31" customFormat="1" x14ac:dyDescent="0.35">
      <c r="A105" s="30">
        <v>2345784</v>
      </c>
      <c r="B105" s="30" t="s">
        <v>299</v>
      </c>
      <c r="C105" s="30" t="s">
        <v>299</v>
      </c>
      <c r="D105" s="30" t="s">
        <v>304</v>
      </c>
      <c r="E105" s="30" t="s">
        <v>304</v>
      </c>
      <c r="F105" s="30" t="s">
        <v>305</v>
      </c>
      <c r="G105" s="30" t="s">
        <v>121</v>
      </c>
      <c r="H105" s="30" t="s">
        <v>123</v>
      </c>
      <c r="I105" s="30" t="s">
        <v>6</v>
      </c>
      <c r="J105" s="38">
        <v>1.56</v>
      </c>
      <c r="K105" s="38">
        <v>1</v>
      </c>
      <c r="L105" s="38">
        <v>67</v>
      </c>
      <c r="M105" s="38">
        <v>77</v>
      </c>
      <c r="N105" s="59">
        <v>7</v>
      </c>
      <c r="O105" s="30">
        <v>116.5</v>
      </c>
      <c r="P105" s="30">
        <v>65.42</v>
      </c>
      <c r="Q105" s="40">
        <f t="shared" si="28"/>
        <v>1.5710000000000002</v>
      </c>
      <c r="R105" s="38">
        <f t="shared" si="21"/>
        <v>0.97750000000000004</v>
      </c>
      <c r="S105" s="38"/>
      <c r="T105" s="38"/>
      <c r="U105" s="44" t="str">
        <f t="shared" si="18"/>
        <v>Fail</v>
      </c>
      <c r="V105" s="28" t="str">
        <f t="shared" si="22"/>
        <v>Pass</v>
      </c>
      <c r="W105" s="28" t="str">
        <f t="shared" si="23"/>
        <v>Fail</v>
      </c>
      <c r="X105" s="28" t="str">
        <f t="shared" si="24"/>
        <v>Pass</v>
      </c>
      <c r="Y105" s="28" t="str">
        <f t="shared" si="25"/>
        <v>Fail</v>
      </c>
      <c r="Z105" s="29"/>
      <c r="AA105" s="30"/>
      <c r="AB105" s="30"/>
      <c r="AC105" s="30"/>
      <c r="AD105" s="30"/>
      <c r="AE105" s="30"/>
      <c r="AF105" s="30"/>
      <c r="AG105" s="30"/>
      <c r="AH105" s="30"/>
      <c r="AI105" s="30"/>
      <c r="AJ105" s="30"/>
      <c r="AK105" s="30"/>
      <c r="AL105" s="30"/>
      <c r="AM105" s="30"/>
      <c r="AN105" s="30"/>
      <c r="AO105" s="30"/>
      <c r="AP105" s="30"/>
      <c r="AQ105" s="30"/>
      <c r="AR105" s="30"/>
      <c r="AS105" s="30"/>
      <c r="AT105" s="30"/>
      <c r="AU105" s="30"/>
    </row>
    <row r="106" spans="1:47" s="31" customFormat="1" x14ac:dyDescent="0.35">
      <c r="A106" s="30">
        <v>2295146</v>
      </c>
      <c r="B106" s="30" t="s">
        <v>299</v>
      </c>
      <c r="C106" s="30" t="s">
        <v>299</v>
      </c>
      <c r="D106" s="30" t="s">
        <v>306</v>
      </c>
      <c r="E106" s="30" t="s">
        <v>306</v>
      </c>
      <c r="F106" s="30" t="s">
        <v>307</v>
      </c>
      <c r="G106" s="30" t="s">
        <v>121</v>
      </c>
      <c r="H106" s="30" t="s">
        <v>123</v>
      </c>
      <c r="I106" s="30" t="s">
        <v>6</v>
      </c>
      <c r="J106" s="38">
        <v>1.1399999999999999</v>
      </c>
      <c r="K106" s="38">
        <v>1.08</v>
      </c>
      <c r="L106" s="38">
        <v>71</v>
      </c>
      <c r="M106" s="38">
        <v>78</v>
      </c>
      <c r="N106" s="59">
        <v>10</v>
      </c>
      <c r="O106" s="30">
        <v>158.6</v>
      </c>
      <c r="P106" s="30">
        <v>101.7</v>
      </c>
      <c r="Q106" s="40">
        <f t="shared" si="28"/>
        <v>1.9700000000000002</v>
      </c>
      <c r="R106" s="38">
        <f t="shared" si="21"/>
        <v>1.2250000000000001</v>
      </c>
      <c r="S106" s="38"/>
      <c r="T106" s="38"/>
      <c r="U106" s="44" t="str">
        <f t="shared" si="18"/>
        <v>Pass</v>
      </c>
      <c r="V106" s="28" t="str">
        <f t="shared" si="22"/>
        <v>Pass</v>
      </c>
      <c r="W106" s="28" t="str">
        <f t="shared" si="23"/>
        <v>Pass</v>
      </c>
      <c r="X106" s="28" t="str">
        <f t="shared" si="24"/>
        <v>Pass</v>
      </c>
      <c r="Y106" s="28" t="str">
        <f t="shared" si="25"/>
        <v>Pass</v>
      </c>
      <c r="Z106" s="29"/>
      <c r="AA106" s="30"/>
      <c r="AB106" s="30"/>
      <c r="AC106" s="30"/>
      <c r="AD106" s="30"/>
      <c r="AE106" s="30"/>
      <c r="AF106" s="30"/>
      <c r="AG106" s="30"/>
      <c r="AH106" s="30"/>
      <c r="AI106" s="30"/>
      <c r="AJ106" s="30"/>
      <c r="AK106" s="30"/>
      <c r="AL106" s="30"/>
      <c r="AM106" s="30"/>
      <c r="AN106" s="30"/>
      <c r="AO106" s="30"/>
      <c r="AP106" s="30"/>
      <c r="AQ106" s="30"/>
      <c r="AR106" s="30"/>
      <c r="AS106" s="30"/>
      <c r="AT106" s="30"/>
      <c r="AU106" s="30"/>
    </row>
    <row r="107" spans="1:47" s="31" customFormat="1" x14ac:dyDescent="0.35">
      <c r="A107" s="30">
        <v>2359757</v>
      </c>
      <c r="B107" s="30" t="s">
        <v>299</v>
      </c>
      <c r="C107" s="30" t="s">
        <v>299</v>
      </c>
      <c r="D107" s="30" t="s">
        <v>308</v>
      </c>
      <c r="E107" s="30" t="s">
        <v>308</v>
      </c>
      <c r="F107" s="30"/>
      <c r="G107" s="30" t="s">
        <v>121</v>
      </c>
      <c r="H107" s="30" t="s">
        <v>123</v>
      </c>
      <c r="I107" s="30" t="s">
        <v>6</v>
      </c>
      <c r="J107" s="38">
        <v>3.17</v>
      </c>
      <c r="K107" s="38">
        <v>2.1</v>
      </c>
      <c r="L107" s="38">
        <v>56</v>
      </c>
      <c r="M107" s="38">
        <v>77</v>
      </c>
      <c r="N107" s="59">
        <v>20</v>
      </c>
      <c r="O107" s="30">
        <v>399.84</v>
      </c>
      <c r="P107" s="30">
        <v>215.55</v>
      </c>
      <c r="Q107" s="40">
        <f t="shared" si="28"/>
        <v>3.3000000000000003</v>
      </c>
      <c r="R107" s="38">
        <f t="shared" si="21"/>
        <v>2.0500000000000003</v>
      </c>
      <c r="S107" s="38"/>
      <c r="T107" s="38"/>
      <c r="U107" s="44" t="str">
        <f t="shared" si="18"/>
        <v>Fail</v>
      </c>
      <c r="V107" s="28" t="str">
        <f t="shared" si="22"/>
        <v>Pass</v>
      </c>
      <c r="W107" s="28" t="str">
        <f t="shared" si="23"/>
        <v>Fail</v>
      </c>
      <c r="X107" s="28" t="str">
        <f t="shared" si="24"/>
        <v>Fail</v>
      </c>
      <c r="Y107" s="28" t="str">
        <f t="shared" si="25"/>
        <v>Fail</v>
      </c>
      <c r="Z107" s="29"/>
      <c r="AA107" s="30"/>
      <c r="AB107" s="30"/>
      <c r="AC107" s="30"/>
      <c r="AD107" s="30"/>
      <c r="AE107" s="30"/>
      <c r="AF107" s="30"/>
      <c r="AG107" s="30"/>
      <c r="AH107" s="30"/>
      <c r="AI107" s="30"/>
      <c r="AJ107" s="30"/>
      <c r="AK107" s="30"/>
      <c r="AL107" s="30"/>
      <c r="AM107" s="30"/>
      <c r="AN107" s="30"/>
      <c r="AO107" s="30"/>
      <c r="AP107" s="30"/>
      <c r="AQ107" s="30"/>
      <c r="AR107" s="30"/>
      <c r="AS107" s="30"/>
      <c r="AT107" s="30"/>
      <c r="AU107" s="30"/>
    </row>
    <row r="108" spans="1:47" s="31" customFormat="1" x14ac:dyDescent="0.35">
      <c r="A108" s="30">
        <v>2359759</v>
      </c>
      <c r="B108" s="30" t="s">
        <v>299</v>
      </c>
      <c r="C108" s="30" t="s">
        <v>299</v>
      </c>
      <c r="D108" s="30" t="s">
        <v>309</v>
      </c>
      <c r="E108" s="30" t="s">
        <v>309</v>
      </c>
      <c r="F108" s="30"/>
      <c r="G108" s="30" t="s">
        <v>121</v>
      </c>
      <c r="H108" s="30" t="s">
        <v>123</v>
      </c>
      <c r="I108" s="30" t="s">
        <v>6</v>
      </c>
      <c r="J108" s="38">
        <v>3.06</v>
      </c>
      <c r="K108" s="38">
        <v>2.1</v>
      </c>
      <c r="L108" s="38">
        <v>56</v>
      </c>
      <c r="M108" s="38">
        <v>77</v>
      </c>
      <c r="N108" s="59">
        <v>20</v>
      </c>
      <c r="O108" s="30">
        <v>378</v>
      </c>
      <c r="P108" s="30">
        <v>197.2</v>
      </c>
      <c r="Q108" s="40">
        <f t="shared" si="28"/>
        <v>3.3000000000000003</v>
      </c>
      <c r="R108" s="38">
        <f t="shared" si="21"/>
        <v>2.0500000000000003</v>
      </c>
      <c r="S108" s="38"/>
      <c r="T108" s="38"/>
      <c r="U108" s="44" t="str">
        <f t="shared" si="18"/>
        <v>Fail</v>
      </c>
      <c r="V108" s="28" t="str">
        <f t="shared" si="22"/>
        <v>Pass</v>
      </c>
      <c r="W108" s="28" t="str">
        <f t="shared" si="23"/>
        <v>Fail</v>
      </c>
      <c r="X108" s="28" t="str">
        <f t="shared" si="24"/>
        <v>Fail</v>
      </c>
      <c r="Y108" s="28" t="str">
        <f t="shared" si="25"/>
        <v>Fail</v>
      </c>
      <c r="Z108" s="29"/>
      <c r="AA108" s="30"/>
      <c r="AB108" s="30"/>
      <c r="AC108" s="30"/>
      <c r="AD108" s="30"/>
      <c r="AE108" s="30"/>
      <c r="AF108" s="30"/>
      <c r="AG108" s="30"/>
      <c r="AH108" s="30"/>
      <c r="AI108" s="30"/>
      <c r="AJ108" s="30"/>
      <c r="AK108" s="30"/>
      <c r="AL108" s="30"/>
      <c r="AM108" s="30"/>
      <c r="AN108" s="30"/>
      <c r="AO108" s="30"/>
      <c r="AP108" s="30"/>
      <c r="AQ108" s="30"/>
      <c r="AR108" s="30"/>
      <c r="AS108" s="30"/>
      <c r="AT108" s="30"/>
      <c r="AU108" s="30"/>
    </row>
    <row r="109" spans="1:47" s="31" customFormat="1" x14ac:dyDescent="0.35">
      <c r="A109" s="30" t="s">
        <v>315</v>
      </c>
      <c r="B109" s="35" t="s">
        <v>316</v>
      </c>
      <c r="C109" s="35" t="s">
        <v>299</v>
      </c>
      <c r="D109" s="35"/>
      <c r="E109" s="35" t="s">
        <v>317</v>
      </c>
      <c r="F109" s="35"/>
      <c r="G109" s="35" t="s">
        <v>121</v>
      </c>
      <c r="H109" s="35" t="s">
        <v>122</v>
      </c>
      <c r="I109" s="35" t="s">
        <v>6</v>
      </c>
      <c r="J109" s="36">
        <v>2.85</v>
      </c>
      <c r="K109" s="36">
        <v>3.03</v>
      </c>
      <c r="L109" s="36">
        <v>71.599999999999994</v>
      </c>
      <c r="M109" s="36">
        <v>82.7</v>
      </c>
      <c r="N109" s="39">
        <v>32</v>
      </c>
      <c r="O109" s="35">
        <v>309.92</v>
      </c>
      <c r="P109" s="35">
        <v>291.91000000000003</v>
      </c>
      <c r="Q109" s="40">
        <f t="shared" si="28"/>
        <v>4.8959999999999999</v>
      </c>
      <c r="R109" s="38">
        <f t="shared" si="21"/>
        <v>3.04</v>
      </c>
      <c r="S109" s="38"/>
      <c r="T109" s="38"/>
      <c r="U109" s="44" t="str">
        <f t="shared" si="18"/>
        <v>Pass</v>
      </c>
      <c r="V109" s="28" t="str">
        <f t="shared" si="22"/>
        <v>Pass</v>
      </c>
      <c r="W109" s="28" t="str">
        <f t="shared" si="23"/>
        <v>Pass</v>
      </c>
      <c r="X109" s="28" t="str">
        <f t="shared" si="24"/>
        <v>Pass</v>
      </c>
      <c r="Y109" s="28" t="str">
        <f t="shared" si="25"/>
        <v>Pass</v>
      </c>
      <c r="Z109" s="29"/>
      <c r="AA109" s="30"/>
      <c r="AB109" s="30"/>
      <c r="AC109" s="30"/>
      <c r="AD109" s="30"/>
      <c r="AE109" s="30"/>
      <c r="AF109" s="30"/>
      <c r="AG109" s="30"/>
      <c r="AH109" s="30"/>
      <c r="AI109" s="30"/>
      <c r="AJ109" s="30"/>
      <c r="AK109" s="30"/>
      <c r="AL109" s="30"/>
      <c r="AM109" s="30"/>
      <c r="AN109" s="30"/>
      <c r="AO109" s="30"/>
      <c r="AP109" s="30"/>
      <c r="AQ109" s="30"/>
      <c r="AR109" s="30"/>
      <c r="AS109" s="30"/>
      <c r="AT109" s="30"/>
      <c r="AU109" s="30"/>
    </row>
    <row r="110" spans="1:47" s="31" customFormat="1" x14ac:dyDescent="0.35">
      <c r="A110" s="64" t="s">
        <v>217</v>
      </c>
      <c r="B110" s="35" t="s">
        <v>316</v>
      </c>
      <c r="C110" s="35" t="s">
        <v>299</v>
      </c>
      <c r="D110" s="35"/>
      <c r="E110" s="35" t="s">
        <v>324</v>
      </c>
      <c r="F110" s="35"/>
      <c r="G110" s="35" t="s">
        <v>121</v>
      </c>
      <c r="H110" s="35" t="s">
        <v>122</v>
      </c>
      <c r="I110" s="35" t="s">
        <v>6</v>
      </c>
      <c r="J110" s="36">
        <v>2.66</v>
      </c>
      <c r="K110" s="36">
        <v>2.86</v>
      </c>
      <c r="L110" s="36">
        <v>72.010000000000005</v>
      </c>
      <c r="M110" s="36">
        <v>84.5</v>
      </c>
      <c r="N110" s="39">
        <v>32</v>
      </c>
      <c r="O110" s="35">
        <v>279.07</v>
      </c>
      <c r="P110" s="35">
        <v>274.05</v>
      </c>
      <c r="Q110" s="40">
        <f t="shared" si="28"/>
        <v>4.8959999999999999</v>
      </c>
      <c r="R110" s="38">
        <f t="shared" si="21"/>
        <v>3.04</v>
      </c>
      <c r="S110" s="38"/>
      <c r="T110" s="38"/>
      <c r="U110" s="44" t="str">
        <f t="shared" si="18"/>
        <v>Pass</v>
      </c>
      <c r="V110" s="28" t="str">
        <f t="shared" si="22"/>
        <v>Pass</v>
      </c>
      <c r="W110" s="28" t="str">
        <f t="shared" si="23"/>
        <v>Pass</v>
      </c>
      <c r="X110" s="28" t="str">
        <f t="shared" si="24"/>
        <v>Pass</v>
      </c>
      <c r="Y110" s="28" t="str">
        <f t="shared" si="25"/>
        <v>Pass</v>
      </c>
      <c r="Z110" s="29"/>
      <c r="AA110" s="30"/>
      <c r="AB110" s="30"/>
      <c r="AC110" s="30"/>
      <c r="AD110" s="30"/>
      <c r="AE110" s="30"/>
      <c r="AF110" s="30"/>
      <c r="AG110" s="30"/>
      <c r="AH110" s="30"/>
      <c r="AI110" s="30"/>
      <c r="AJ110" s="30"/>
      <c r="AK110" s="30"/>
      <c r="AL110" s="30"/>
      <c r="AM110" s="30"/>
      <c r="AN110" s="30"/>
      <c r="AO110" s="30"/>
      <c r="AP110" s="30"/>
      <c r="AQ110" s="30"/>
      <c r="AR110" s="30"/>
      <c r="AS110" s="30"/>
      <c r="AT110" s="30"/>
      <c r="AU110" s="30"/>
    </row>
    <row r="111" spans="1:47" s="31" customFormat="1" x14ac:dyDescent="0.35">
      <c r="A111" s="64" t="s">
        <v>325</v>
      </c>
      <c r="B111" s="35" t="s">
        <v>326</v>
      </c>
      <c r="C111" s="35"/>
      <c r="D111" s="35"/>
      <c r="E111" s="35"/>
      <c r="F111" s="35"/>
      <c r="G111" s="35" t="s">
        <v>121</v>
      </c>
      <c r="H111" s="35" t="s">
        <v>122</v>
      </c>
      <c r="I111" s="35" t="s">
        <v>6</v>
      </c>
      <c r="J111" s="36">
        <v>2.6</v>
      </c>
      <c r="K111" s="36">
        <v>2</v>
      </c>
      <c r="L111" s="36">
        <v>64</v>
      </c>
      <c r="M111" s="36">
        <v>79</v>
      </c>
      <c r="N111" s="39">
        <v>20</v>
      </c>
      <c r="O111" s="35"/>
      <c r="P111" s="35"/>
      <c r="Q111" s="40">
        <f t="shared" si="28"/>
        <v>3.3000000000000003</v>
      </c>
      <c r="R111" s="38">
        <f t="shared" si="21"/>
        <v>2.0500000000000003</v>
      </c>
      <c r="S111" s="38"/>
      <c r="T111" s="38"/>
      <c r="U111" s="44" t="str">
        <f t="shared" si="18"/>
        <v>Pass</v>
      </c>
      <c r="V111" s="28" t="str">
        <f t="shared" si="22"/>
        <v>Pass</v>
      </c>
      <c r="W111" s="28" t="str">
        <f t="shared" si="23"/>
        <v>Pass</v>
      </c>
      <c r="X111" s="28" t="str">
        <f t="shared" si="24"/>
        <v>Pass</v>
      </c>
      <c r="Y111" s="28" t="str">
        <f t="shared" si="25"/>
        <v>Pass</v>
      </c>
      <c r="Z111" s="29"/>
      <c r="AA111" s="30"/>
      <c r="AB111" s="30"/>
      <c r="AC111" s="30"/>
      <c r="AD111" s="30"/>
      <c r="AE111" s="30"/>
      <c r="AF111" s="30"/>
      <c r="AG111" s="30"/>
      <c r="AH111" s="30"/>
      <c r="AI111" s="30"/>
      <c r="AJ111" s="30"/>
      <c r="AK111" s="30"/>
      <c r="AL111" s="30"/>
      <c r="AM111" s="30"/>
      <c r="AN111" s="30"/>
      <c r="AO111" s="30"/>
      <c r="AP111" s="30"/>
      <c r="AQ111" s="30"/>
      <c r="AR111" s="30"/>
      <c r="AS111" s="30"/>
      <c r="AT111" s="30"/>
      <c r="AU111" s="30"/>
    </row>
    <row r="112" spans="1:47" s="31" customFormat="1" x14ac:dyDescent="0.35">
      <c r="A112" s="64" t="s">
        <v>327</v>
      </c>
      <c r="B112" s="35" t="s">
        <v>328</v>
      </c>
      <c r="C112" s="35"/>
      <c r="D112" s="35"/>
      <c r="E112" s="35"/>
      <c r="F112" s="35"/>
      <c r="G112" s="35" t="s">
        <v>121</v>
      </c>
      <c r="H112" s="35" t="s">
        <v>122</v>
      </c>
      <c r="I112" s="35" t="s">
        <v>6</v>
      </c>
      <c r="J112" s="36">
        <v>13.1</v>
      </c>
      <c r="K112" s="36">
        <v>2.86</v>
      </c>
      <c r="L112" s="36">
        <v>47</v>
      </c>
      <c r="M112" s="36">
        <v>74.7</v>
      </c>
      <c r="N112" s="39">
        <v>20</v>
      </c>
      <c r="O112" s="35"/>
      <c r="P112" s="35"/>
      <c r="Q112" s="40">
        <f t="shared" si="28"/>
        <v>3.3000000000000003</v>
      </c>
      <c r="R112" s="38">
        <f t="shared" si="21"/>
        <v>2.0500000000000003</v>
      </c>
      <c r="S112" s="38"/>
      <c r="T112" s="38"/>
      <c r="U112" s="44" t="str">
        <f t="shared" si="18"/>
        <v>Fail</v>
      </c>
      <c r="V112" s="28" t="str">
        <f t="shared" si="22"/>
        <v>Fail</v>
      </c>
      <c r="W112" s="28" t="str">
        <f t="shared" si="23"/>
        <v>Fail</v>
      </c>
      <c r="X112" s="28" t="str">
        <f t="shared" si="24"/>
        <v>Fail</v>
      </c>
      <c r="Y112" s="28" t="str">
        <f t="shared" si="25"/>
        <v>Fail</v>
      </c>
      <c r="Z112" s="29"/>
      <c r="AA112" s="30"/>
      <c r="AB112" s="30"/>
      <c r="AC112" s="30"/>
      <c r="AD112" s="30"/>
      <c r="AE112" s="30"/>
      <c r="AF112" s="30"/>
      <c r="AG112" s="30"/>
      <c r="AH112" s="30"/>
      <c r="AI112" s="30"/>
      <c r="AJ112" s="30"/>
      <c r="AK112" s="30"/>
      <c r="AL112" s="30"/>
      <c r="AM112" s="30"/>
      <c r="AN112" s="30"/>
      <c r="AO112" s="30"/>
      <c r="AP112" s="30"/>
      <c r="AQ112" s="30"/>
      <c r="AR112" s="30"/>
      <c r="AS112" s="30"/>
      <c r="AT112" s="30"/>
      <c r="AU112" s="30"/>
    </row>
    <row r="113" spans="1:47" s="31" customFormat="1" ht="15" customHeight="1" x14ac:dyDescent="0.35">
      <c r="A113" s="64" t="s">
        <v>329</v>
      </c>
      <c r="B113" s="35" t="s">
        <v>330</v>
      </c>
      <c r="C113" s="35"/>
      <c r="D113" s="35"/>
      <c r="E113" s="35"/>
      <c r="F113" s="35"/>
      <c r="G113" s="35" t="s">
        <v>121</v>
      </c>
      <c r="H113" s="35" t="s">
        <v>122</v>
      </c>
      <c r="I113" s="35" t="s">
        <v>6</v>
      </c>
      <c r="J113" s="36">
        <v>3.07</v>
      </c>
      <c r="K113" s="36">
        <v>1.8</v>
      </c>
      <c r="L113" s="36">
        <v>63</v>
      </c>
      <c r="M113" s="36">
        <v>82.199999999999989</v>
      </c>
      <c r="N113" s="39">
        <v>20</v>
      </c>
      <c r="O113" s="35"/>
      <c r="P113" s="35"/>
      <c r="Q113" s="40">
        <f t="shared" si="28"/>
        <v>3.3000000000000003</v>
      </c>
      <c r="R113" s="38">
        <f t="shared" si="21"/>
        <v>2.0500000000000003</v>
      </c>
      <c r="S113" s="38"/>
      <c r="T113" s="38"/>
      <c r="U113" s="44" t="str">
        <f t="shared" si="18"/>
        <v>Pass</v>
      </c>
      <c r="V113" s="28" t="str">
        <f t="shared" si="22"/>
        <v>Pass</v>
      </c>
      <c r="W113" s="28" t="str">
        <f t="shared" si="23"/>
        <v>Pass</v>
      </c>
      <c r="X113" s="28" t="str">
        <f t="shared" si="24"/>
        <v>Pass</v>
      </c>
      <c r="Y113" s="28" t="str">
        <f t="shared" si="25"/>
        <v>Pass</v>
      </c>
      <c r="Z113" s="29"/>
      <c r="AA113" s="30"/>
      <c r="AB113" s="30"/>
      <c r="AC113" s="30"/>
      <c r="AD113" s="30"/>
      <c r="AE113" s="30"/>
      <c r="AF113" s="30"/>
      <c r="AG113" s="30"/>
      <c r="AH113" s="30"/>
      <c r="AI113" s="30"/>
      <c r="AJ113" s="30"/>
      <c r="AK113" s="30"/>
      <c r="AL113" s="30"/>
      <c r="AM113" s="30"/>
      <c r="AN113" s="30"/>
      <c r="AO113" s="30"/>
      <c r="AP113" s="30"/>
      <c r="AQ113" s="30"/>
      <c r="AR113" s="30"/>
      <c r="AS113" s="30"/>
      <c r="AT113" s="30"/>
      <c r="AU113" s="30"/>
    </row>
    <row r="114" spans="1:47" s="31" customFormat="1" x14ac:dyDescent="0.35">
      <c r="A114" s="64" t="s">
        <v>331</v>
      </c>
      <c r="B114" s="35" t="s">
        <v>332</v>
      </c>
      <c r="C114" s="35"/>
      <c r="D114" s="35"/>
      <c r="E114" s="35"/>
      <c r="F114" s="35"/>
      <c r="G114" s="35" t="s">
        <v>121</v>
      </c>
      <c r="H114" s="35" t="s">
        <v>122</v>
      </c>
      <c r="I114" s="35" t="s">
        <v>6</v>
      </c>
      <c r="J114" s="36">
        <v>3.14</v>
      </c>
      <c r="K114" s="36">
        <v>2.2999999999999998</v>
      </c>
      <c r="L114" s="36">
        <v>60</v>
      </c>
      <c r="M114" s="36">
        <v>74.8</v>
      </c>
      <c r="N114" s="39">
        <v>14</v>
      </c>
      <c r="O114" s="35"/>
      <c r="P114" s="35"/>
      <c r="Q114" s="40">
        <f t="shared" si="28"/>
        <v>2.5020000000000002</v>
      </c>
      <c r="R114" s="38">
        <f t="shared" si="21"/>
        <v>1.5550000000000002</v>
      </c>
      <c r="S114" s="38"/>
      <c r="T114" s="38"/>
      <c r="U114" s="44" t="str">
        <f t="shared" si="18"/>
        <v>Fail</v>
      </c>
      <c r="V114" s="28" t="str">
        <f t="shared" si="22"/>
        <v>Fail</v>
      </c>
      <c r="W114" s="28" t="str">
        <f t="shared" si="23"/>
        <v>Fail</v>
      </c>
      <c r="X114" s="28" t="str">
        <f t="shared" si="24"/>
        <v>Pass</v>
      </c>
      <c r="Y114" s="28" t="str">
        <f t="shared" si="25"/>
        <v>Fail</v>
      </c>
      <c r="Z114" s="29"/>
      <c r="AA114" s="30"/>
      <c r="AB114" s="30"/>
      <c r="AC114" s="30"/>
      <c r="AD114" s="30"/>
      <c r="AE114" s="30"/>
      <c r="AF114" s="30"/>
      <c r="AG114" s="30"/>
      <c r="AH114" s="30"/>
      <c r="AI114" s="30"/>
      <c r="AJ114" s="30"/>
      <c r="AK114" s="30"/>
      <c r="AL114" s="30"/>
      <c r="AM114" s="30"/>
      <c r="AN114" s="30"/>
      <c r="AO114" s="30"/>
      <c r="AP114" s="30"/>
      <c r="AQ114" s="30"/>
      <c r="AR114" s="30"/>
      <c r="AS114" s="30"/>
      <c r="AT114" s="30"/>
      <c r="AU114" s="30"/>
    </row>
    <row r="115" spans="1:47" s="31" customFormat="1" x14ac:dyDescent="0.35">
      <c r="A115" s="64" t="s">
        <v>333</v>
      </c>
      <c r="B115" s="35" t="s">
        <v>334</v>
      </c>
      <c r="C115" s="35"/>
      <c r="D115" s="35"/>
      <c r="E115" s="35"/>
      <c r="F115" s="35"/>
      <c r="G115" s="35" t="s">
        <v>121</v>
      </c>
      <c r="H115" s="35" t="s">
        <v>122</v>
      </c>
      <c r="I115" s="35" t="s">
        <v>6</v>
      </c>
      <c r="J115" s="36">
        <v>2.13</v>
      </c>
      <c r="K115" s="36">
        <v>1.56</v>
      </c>
      <c r="L115" s="36">
        <v>60</v>
      </c>
      <c r="M115" s="36">
        <v>79</v>
      </c>
      <c r="N115" s="39">
        <v>14</v>
      </c>
      <c r="O115" s="35"/>
      <c r="P115" s="35"/>
      <c r="Q115" s="40">
        <f t="shared" si="28"/>
        <v>2.5020000000000002</v>
      </c>
      <c r="R115" s="38">
        <f t="shared" si="21"/>
        <v>1.5550000000000002</v>
      </c>
      <c r="S115" s="38"/>
      <c r="T115" s="38"/>
      <c r="U115" s="44" t="str">
        <f t="shared" ref="U115:U117" si="29">IF((AND(J115&lt;=Q115, K115&lt;=R115, L115&gt;=$S$2, M115&gt;=$T$2)), "Pass", "Fail")</f>
        <v>Fail</v>
      </c>
      <c r="V115" s="28" t="str">
        <f t="shared" si="22"/>
        <v>Pass</v>
      </c>
      <c r="W115" s="28" t="str">
        <f t="shared" si="23"/>
        <v>Fail</v>
      </c>
      <c r="X115" s="28" t="str">
        <f t="shared" si="24"/>
        <v>Pass</v>
      </c>
      <c r="Y115" s="28" t="str">
        <f t="shared" si="25"/>
        <v>Pass</v>
      </c>
      <c r="Z115" s="29"/>
      <c r="AA115" s="30"/>
      <c r="AB115" s="30"/>
      <c r="AC115" s="30"/>
      <c r="AD115" s="30"/>
      <c r="AE115" s="30"/>
      <c r="AF115" s="30"/>
      <c r="AG115" s="30"/>
      <c r="AH115" s="30"/>
      <c r="AI115" s="30"/>
      <c r="AJ115" s="30"/>
      <c r="AK115" s="30"/>
      <c r="AL115" s="30"/>
      <c r="AM115" s="30"/>
      <c r="AN115" s="30"/>
      <c r="AO115" s="30"/>
      <c r="AP115" s="30"/>
      <c r="AQ115" s="30"/>
      <c r="AR115" s="30"/>
      <c r="AS115" s="30"/>
      <c r="AT115" s="30"/>
      <c r="AU115" s="30"/>
    </row>
    <row r="116" spans="1:47" s="31" customFormat="1" x14ac:dyDescent="0.35">
      <c r="A116" s="64" t="s">
        <v>335</v>
      </c>
      <c r="B116" s="35" t="s">
        <v>336</v>
      </c>
      <c r="C116" s="35"/>
      <c r="D116" s="35"/>
      <c r="E116" s="35"/>
      <c r="F116" s="35"/>
      <c r="G116" s="35" t="s">
        <v>121</v>
      </c>
      <c r="H116" s="35" t="s">
        <v>122</v>
      </c>
      <c r="I116" s="35" t="s">
        <v>6</v>
      </c>
      <c r="J116" s="36">
        <v>2.0299999999999998</v>
      </c>
      <c r="K116" s="36">
        <v>1.61</v>
      </c>
      <c r="L116" s="36">
        <v>57.999999999999993</v>
      </c>
      <c r="M116" s="36">
        <v>85</v>
      </c>
      <c r="N116" s="39">
        <v>14</v>
      </c>
      <c r="O116" s="35"/>
      <c r="P116" s="35"/>
      <c r="Q116" s="40">
        <f t="shared" si="28"/>
        <v>2.5020000000000002</v>
      </c>
      <c r="R116" s="38">
        <f t="shared" si="21"/>
        <v>1.5550000000000002</v>
      </c>
      <c r="S116" s="38"/>
      <c r="T116" s="38"/>
      <c r="U116" s="44" t="str">
        <f t="shared" si="29"/>
        <v>Fail</v>
      </c>
      <c r="V116" s="28" t="str">
        <f t="shared" si="22"/>
        <v>Pass</v>
      </c>
      <c r="W116" s="28" t="str">
        <f t="shared" si="23"/>
        <v>Fail</v>
      </c>
      <c r="X116" s="28" t="str">
        <f t="shared" si="24"/>
        <v>Fail</v>
      </c>
      <c r="Y116" s="28" t="str">
        <f t="shared" si="25"/>
        <v>Pass</v>
      </c>
      <c r="Z116" s="29"/>
      <c r="AA116" s="30"/>
      <c r="AB116" s="30"/>
      <c r="AC116" s="30"/>
      <c r="AD116" s="30"/>
      <c r="AE116" s="30"/>
      <c r="AF116" s="30"/>
      <c r="AG116" s="30"/>
      <c r="AH116" s="30"/>
      <c r="AI116" s="30"/>
      <c r="AJ116" s="30"/>
      <c r="AK116" s="30"/>
      <c r="AL116" s="30"/>
      <c r="AM116" s="30"/>
      <c r="AN116" s="30"/>
      <c r="AO116" s="30"/>
      <c r="AP116" s="30"/>
      <c r="AQ116" s="30"/>
      <c r="AR116" s="30"/>
      <c r="AS116" s="30"/>
      <c r="AT116" s="30"/>
      <c r="AU116" s="30"/>
    </row>
    <row r="117" spans="1:47" s="31" customFormat="1" x14ac:dyDescent="0.35">
      <c r="A117" s="64" t="s">
        <v>337</v>
      </c>
      <c r="B117" s="35" t="s">
        <v>338</v>
      </c>
      <c r="C117" s="35"/>
      <c r="D117" s="35"/>
      <c r="E117" s="35"/>
      <c r="F117" s="35"/>
      <c r="G117" s="35" t="s">
        <v>121</v>
      </c>
      <c r="H117" s="35" t="s">
        <v>123</v>
      </c>
      <c r="I117" s="35" t="s">
        <v>6</v>
      </c>
      <c r="J117" s="36">
        <v>4</v>
      </c>
      <c r="K117" s="36">
        <v>1.2</v>
      </c>
      <c r="L117" s="36">
        <v>55.000000000000007</v>
      </c>
      <c r="M117" s="36">
        <v>76.03</v>
      </c>
      <c r="N117" s="39">
        <v>11</v>
      </c>
      <c r="O117" s="35"/>
      <c r="P117" s="35"/>
      <c r="Q117" s="40">
        <f t="shared" si="28"/>
        <v>2.1030000000000002</v>
      </c>
      <c r="R117" s="38">
        <f t="shared" si="21"/>
        <v>1.3075000000000001</v>
      </c>
      <c r="S117" s="38"/>
      <c r="T117" s="38"/>
      <c r="U117" s="44" t="str">
        <f t="shared" si="29"/>
        <v>Fail</v>
      </c>
      <c r="V117" s="28" t="str">
        <f t="shared" si="22"/>
        <v>Fail</v>
      </c>
      <c r="W117" s="28" t="str">
        <f t="shared" si="23"/>
        <v>Pass</v>
      </c>
      <c r="X117" s="28" t="str">
        <f t="shared" si="24"/>
        <v>Fail</v>
      </c>
      <c r="Y117" s="28" t="str">
        <f t="shared" si="25"/>
        <v>Fail</v>
      </c>
      <c r="Z117" s="29"/>
      <c r="AA117" s="30"/>
      <c r="AB117" s="30"/>
      <c r="AC117" s="30"/>
      <c r="AD117" s="30"/>
      <c r="AE117" s="30"/>
      <c r="AF117" s="30"/>
      <c r="AG117" s="30"/>
      <c r="AH117" s="30"/>
      <c r="AI117" s="30"/>
      <c r="AJ117" s="30"/>
      <c r="AK117" s="30"/>
      <c r="AL117" s="30"/>
      <c r="AM117" s="30"/>
      <c r="AN117" s="30"/>
      <c r="AO117" s="30"/>
      <c r="AP117" s="30"/>
      <c r="AQ117" s="30"/>
      <c r="AR117" s="30"/>
      <c r="AS117" s="30"/>
      <c r="AT117" s="30"/>
      <c r="AU117" s="30"/>
    </row>
    <row r="118" spans="1:47" s="31" customFormat="1" x14ac:dyDescent="0.35">
      <c r="A118" s="64" t="s">
        <v>339</v>
      </c>
      <c r="B118" s="35" t="s">
        <v>340</v>
      </c>
      <c r="C118" s="35"/>
      <c r="D118" s="35"/>
      <c r="E118" s="35"/>
      <c r="F118" s="35"/>
      <c r="G118" s="35" t="s">
        <v>121</v>
      </c>
      <c r="H118" s="35" t="s">
        <v>123</v>
      </c>
      <c r="I118" s="35" t="s">
        <v>6</v>
      </c>
      <c r="J118" s="36">
        <v>6.65</v>
      </c>
      <c r="K118" s="36">
        <v>1.56</v>
      </c>
      <c r="L118" s="36">
        <v>49</v>
      </c>
      <c r="M118" s="36">
        <v>70.099999999999994</v>
      </c>
      <c r="N118" s="39">
        <v>9</v>
      </c>
      <c r="O118" s="35"/>
      <c r="P118" s="35"/>
      <c r="Q118" s="40">
        <f t="shared" si="28"/>
        <v>1.8370000000000002</v>
      </c>
      <c r="R118" s="38">
        <f t="shared" si="21"/>
        <v>1.1425000000000001</v>
      </c>
      <c r="S118" s="38"/>
      <c r="T118" s="38"/>
      <c r="U118" s="44" t="str">
        <f t="shared" ref="U118:U125" si="30">IF((AND(J118&lt;=Q118, K118&lt;=R118, L118&gt;=$S$2, M118&gt;=$T$2)), "Pass", "Fail")</f>
        <v>Fail</v>
      </c>
      <c r="V118" s="28" t="str">
        <f t="shared" si="22"/>
        <v>Fail</v>
      </c>
      <c r="W118" s="28" t="str">
        <f t="shared" si="23"/>
        <v>Fail</v>
      </c>
      <c r="X118" s="28" t="str">
        <f t="shared" si="24"/>
        <v>Fail</v>
      </c>
      <c r="Y118" s="28" t="str">
        <f t="shared" si="25"/>
        <v>Fail</v>
      </c>
      <c r="Z118" s="29"/>
      <c r="AA118" s="30"/>
      <c r="AB118" s="30"/>
      <c r="AC118" s="30"/>
      <c r="AD118" s="30"/>
      <c r="AE118" s="30"/>
      <c r="AF118" s="30"/>
      <c r="AG118" s="30"/>
      <c r="AH118" s="30"/>
      <c r="AI118" s="30"/>
      <c r="AJ118" s="30"/>
      <c r="AK118" s="30"/>
      <c r="AL118" s="30"/>
      <c r="AM118" s="30"/>
      <c r="AN118" s="30"/>
      <c r="AO118" s="30"/>
      <c r="AP118" s="30"/>
      <c r="AQ118" s="30"/>
      <c r="AR118" s="30"/>
      <c r="AS118" s="30"/>
      <c r="AT118" s="30"/>
      <c r="AU118" s="30"/>
    </row>
    <row r="119" spans="1:47" s="31" customFormat="1" x14ac:dyDescent="0.35">
      <c r="A119" s="64" t="s">
        <v>341</v>
      </c>
      <c r="B119" s="35" t="s">
        <v>342</v>
      </c>
      <c r="C119" s="35"/>
      <c r="D119" s="35"/>
      <c r="E119" s="35"/>
      <c r="F119" s="35"/>
      <c r="G119" s="35" t="s">
        <v>121</v>
      </c>
      <c r="H119" s="35" t="s">
        <v>123</v>
      </c>
      <c r="I119" s="35" t="s">
        <v>6</v>
      </c>
      <c r="J119" s="36">
        <v>1.69</v>
      </c>
      <c r="K119" s="36">
        <v>1.1299999999999999</v>
      </c>
      <c r="L119" s="36">
        <v>57.999999999999993</v>
      </c>
      <c r="M119" s="36">
        <v>76</v>
      </c>
      <c r="N119" s="62">
        <v>6</v>
      </c>
      <c r="O119" s="35"/>
      <c r="P119" s="35"/>
      <c r="Q119" s="40">
        <f t="shared" si="28"/>
        <v>1.4380000000000002</v>
      </c>
      <c r="R119" s="38">
        <f t="shared" si="21"/>
        <v>0.89500000000000002</v>
      </c>
      <c r="S119" s="38"/>
      <c r="T119" s="38"/>
      <c r="U119" s="44" t="str">
        <f t="shared" si="30"/>
        <v>Fail</v>
      </c>
      <c r="V119" s="28" t="str">
        <f t="shared" ref="V119:V125" si="31">IF(J119&lt;=Q119, "Pass", "Fail")</f>
        <v>Fail</v>
      </c>
      <c r="W119" s="28" t="str">
        <f t="shared" ref="W119:W125" si="32">IF(K119&lt;=R119, "Pass", "Fail")</f>
        <v>Fail</v>
      </c>
      <c r="X119" s="28" t="str">
        <f t="shared" ref="X119:X125" si="33">IF(L119&gt;=$S$2, "Pass", "Fail")</f>
        <v>Fail</v>
      </c>
      <c r="Y119" s="28" t="str">
        <f t="shared" ref="Y119:Y125" si="34">IF(M119&gt;=$T$2, "Pass", "Fail")</f>
        <v>Fail</v>
      </c>
      <c r="Z119" s="29"/>
      <c r="AA119" s="30"/>
      <c r="AB119" s="30"/>
      <c r="AC119" s="30"/>
      <c r="AD119" s="30"/>
      <c r="AE119" s="30"/>
      <c r="AF119" s="30"/>
      <c r="AG119" s="30"/>
      <c r="AH119" s="30"/>
      <c r="AI119" s="30"/>
      <c r="AJ119" s="30"/>
      <c r="AK119" s="30"/>
      <c r="AL119" s="30"/>
      <c r="AM119" s="30"/>
      <c r="AN119" s="30"/>
      <c r="AO119" s="30"/>
      <c r="AP119" s="30"/>
      <c r="AQ119" s="30"/>
      <c r="AR119" s="30"/>
      <c r="AS119" s="30"/>
      <c r="AT119" s="30"/>
      <c r="AU119" s="30"/>
    </row>
    <row r="120" spans="1:47" s="31" customFormat="1" x14ac:dyDescent="0.35">
      <c r="A120" s="64" t="s">
        <v>349</v>
      </c>
      <c r="B120" s="35" t="s">
        <v>350</v>
      </c>
      <c r="C120" s="35"/>
      <c r="D120" s="35"/>
      <c r="E120" s="35"/>
      <c r="F120" s="35"/>
      <c r="G120" s="35" t="s">
        <v>121</v>
      </c>
      <c r="H120" s="35" t="s">
        <v>123</v>
      </c>
      <c r="I120" s="35" t="s">
        <v>6</v>
      </c>
      <c r="J120" s="36">
        <v>1.62</v>
      </c>
      <c r="K120" s="36">
        <v>1.02</v>
      </c>
      <c r="L120" s="36">
        <v>55.000000000000007</v>
      </c>
      <c r="M120" s="36">
        <v>66.2</v>
      </c>
      <c r="N120" s="62">
        <v>6</v>
      </c>
      <c r="O120" s="35"/>
      <c r="P120" s="35"/>
      <c r="Q120" s="40">
        <f t="shared" si="28"/>
        <v>1.4380000000000002</v>
      </c>
      <c r="R120" s="38">
        <f t="shared" si="21"/>
        <v>0.89500000000000002</v>
      </c>
      <c r="S120" s="38"/>
      <c r="T120" s="38"/>
      <c r="U120" s="44" t="str">
        <f t="shared" si="30"/>
        <v>Fail</v>
      </c>
      <c r="V120" s="28" t="str">
        <f t="shared" si="31"/>
        <v>Fail</v>
      </c>
      <c r="W120" s="28" t="str">
        <f t="shared" si="32"/>
        <v>Fail</v>
      </c>
      <c r="X120" s="28" t="str">
        <f t="shared" si="33"/>
        <v>Fail</v>
      </c>
      <c r="Y120" s="28" t="str">
        <f t="shared" si="34"/>
        <v>Fail</v>
      </c>
      <c r="Z120" s="29"/>
      <c r="AA120" s="30"/>
      <c r="AB120" s="30"/>
      <c r="AC120" s="30"/>
      <c r="AD120" s="30"/>
      <c r="AE120" s="30"/>
      <c r="AF120" s="30"/>
      <c r="AG120" s="30"/>
      <c r="AH120" s="30"/>
      <c r="AI120" s="30"/>
      <c r="AJ120" s="30"/>
      <c r="AK120" s="30"/>
      <c r="AL120" s="30"/>
      <c r="AM120" s="30"/>
      <c r="AN120" s="30"/>
      <c r="AO120" s="30"/>
      <c r="AP120" s="30"/>
      <c r="AQ120" s="30"/>
      <c r="AR120" s="30"/>
      <c r="AS120" s="30"/>
      <c r="AT120" s="30"/>
      <c r="AU120" s="30"/>
    </row>
    <row r="121" spans="1:47" s="31" customFormat="1" x14ac:dyDescent="0.35">
      <c r="A121" s="64" t="s">
        <v>343</v>
      </c>
      <c r="B121" s="35" t="s">
        <v>344</v>
      </c>
      <c r="C121" s="35"/>
      <c r="D121" s="35"/>
      <c r="E121" s="35"/>
      <c r="F121" s="35"/>
      <c r="G121" s="35" t="s">
        <v>121</v>
      </c>
      <c r="H121" s="35" t="s">
        <v>123</v>
      </c>
      <c r="I121" s="35" t="s">
        <v>6</v>
      </c>
      <c r="J121" s="36">
        <v>5.0999999999999996</v>
      </c>
      <c r="K121" s="36">
        <v>1.08</v>
      </c>
      <c r="L121" s="36">
        <v>31</v>
      </c>
      <c r="M121" s="36">
        <v>71</v>
      </c>
      <c r="N121" s="62">
        <v>5</v>
      </c>
      <c r="O121" s="35"/>
      <c r="P121" s="35"/>
      <c r="Q121" s="40">
        <f t="shared" si="28"/>
        <v>1.3050000000000002</v>
      </c>
      <c r="R121" s="38">
        <f t="shared" si="21"/>
        <v>0.8125</v>
      </c>
      <c r="S121" s="38"/>
      <c r="T121" s="38"/>
      <c r="U121" s="44" t="str">
        <f t="shared" si="30"/>
        <v>Fail</v>
      </c>
      <c r="V121" s="28" t="str">
        <f t="shared" si="31"/>
        <v>Fail</v>
      </c>
      <c r="W121" s="28" t="str">
        <f t="shared" si="32"/>
        <v>Fail</v>
      </c>
      <c r="X121" s="28" t="str">
        <f t="shared" si="33"/>
        <v>Fail</v>
      </c>
      <c r="Y121" s="28" t="str">
        <f t="shared" si="34"/>
        <v>Fail</v>
      </c>
      <c r="Z121" s="29"/>
      <c r="AA121" s="30"/>
      <c r="AB121" s="30"/>
      <c r="AC121" s="30"/>
      <c r="AD121" s="30"/>
      <c r="AE121" s="30"/>
      <c r="AF121" s="30"/>
      <c r="AG121" s="30"/>
      <c r="AH121" s="30"/>
      <c r="AI121" s="30"/>
      <c r="AJ121" s="30"/>
      <c r="AK121" s="30"/>
      <c r="AL121" s="30"/>
      <c r="AM121" s="30"/>
      <c r="AN121" s="30"/>
      <c r="AO121" s="30"/>
      <c r="AP121" s="30"/>
      <c r="AQ121" s="30"/>
      <c r="AR121" s="30"/>
      <c r="AS121" s="30"/>
      <c r="AT121" s="30"/>
      <c r="AU121" s="30"/>
    </row>
    <row r="122" spans="1:47" s="31" customFormat="1" x14ac:dyDescent="0.35">
      <c r="A122" s="64" t="s">
        <v>345</v>
      </c>
      <c r="B122" s="35" t="s">
        <v>346</v>
      </c>
      <c r="C122" s="35"/>
      <c r="D122" s="35"/>
      <c r="E122" s="35"/>
      <c r="F122" s="35"/>
      <c r="G122" s="35" t="s">
        <v>121</v>
      </c>
      <c r="H122" s="35" t="s">
        <v>123</v>
      </c>
      <c r="I122" s="35" t="s">
        <v>6</v>
      </c>
      <c r="J122" s="36">
        <v>3.45</v>
      </c>
      <c r="K122" s="36">
        <v>1.65</v>
      </c>
      <c r="L122" s="36">
        <v>48</v>
      </c>
      <c r="M122" s="36">
        <v>65.3</v>
      </c>
      <c r="N122" s="62">
        <v>5</v>
      </c>
      <c r="O122" s="35"/>
      <c r="P122" s="35"/>
      <c r="Q122" s="40">
        <f t="shared" si="28"/>
        <v>1.3050000000000002</v>
      </c>
      <c r="R122" s="38">
        <f t="shared" si="21"/>
        <v>0.8125</v>
      </c>
      <c r="S122" s="38"/>
      <c r="T122" s="38"/>
      <c r="U122" s="44" t="str">
        <f t="shared" si="30"/>
        <v>Fail</v>
      </c>
      <c r="V122" s="28" t="str">
        <f t="shared" si="31"/>
        <v>Fail</v>
      </c>
      <c r="W122" s="28" t="str">
        <f t="shared" si="32"/>
        <v>Fail</v>
      </c>
      <c r="X122" s="28" t="str">
        <f t="shared" si="33"/>
        <v>Fail</v>
      </c>
      <c r="Y122" s="28" t="str">
        <f t="shared" si="34"/>
        <v>Fail</v>
      </c>
      <c r="Z122" s="29"/>
      <c r="AA122" s="30"/>
      <c r="AB122" s="30"/>
      <c r="AC122" s="30"/>
      <c r="AD122" s="30"/>
      <c r="AE122" s="30"/>
      <c r="AF122" s="30"/>
      <c r="AG122" s="30"/>
      <c r="AH122" s="30"/>
      <c r="AI122" s="30"/>
      <c r="AJ122" s="30"/>
      <c r="AK122" s="30"/>
      <c r="AL122" s="30"/>
      <c r="AM122" s="30"/>
      <c r="AN122" s="30"/>
      <c r="AO122" s="30"/>
      <c r="AP122" s="30"/>
      <c r="AQ122" s="30"/>
      <c r="AR122" s="30"/>
      <c r="AS122" s="30"/>
      <c r="AT122" s="30"/>
      <c r="AU122" s="30"/>
    </row>
    <row r="123" spans="1:47" s="31" customFormat="1" x14ac:dyDescent="0.35">
      <c r="A123" s="64" t="s">
        <v>347</v>
      </c>
      <c r="B123" s="35" t="s">
        <v>348</v>
      </c>
      <c r="C123" s="35"/>
      <c r="D123" s="35"/>
      <c r="E123" s="35"/>
      <c r="F123" s="35"/>
      <c r="G123" s="35" t="s">
        <v>121</v>
      </c>
      <c r="H123" s="35" t="s">
        <v>123</v>
      </c>
      <c r="I123" s="35" t="s">
        <v>6</v>
      </c>
      <c r="J123" s="36">
        <v>2.4900000000000002</v>
      </c>
      <c r="K123" s="36">
        <v>1.65</v>
      </c>
      <c r="L123" s="36">
        <v>51</v>
      </c>
      <c r="M123" s="36">
        <v>63.67</v>
      </c>
      <c r="N123" s="62">
        <v>5</v>
      </c>
      <c r="O123" s="35"/>
      <c r="P123" s="35"/>
      <c r="Q123" s="40">
        <f t="shared" si="28"/>
        <v>1.3050000000000002</v>
      </c>
      <c r="R123" s="38">
        <f t="shared" si="21"/>
        <v>0.8125</v>
      </c>
      <c r="S123" s="38"/>
      <c r="T123" s="38"/>
      <c r="U123" s="44" t="str">
        <f t="shared" si="30"/>
        <v>Fail</v>
      </c>
      <c r="V123" s="28" t="str">
        <f t="shared" si="31"/>
        <v>Fail</v>
      </c>
      <c r="W123" s="28" t="str">
        <f t="shared" si="32"/>
        <v>Fail</v>
      </c>
      <c r="X123" s="28" t="str">
        <f t="shared" si="33"/>
        <v>Fail</v>
      </c>
      <c r="Y123" s="28" t="str">
        <f t="shared" si="34"/>
        <v>Fail</v>
      </c>
      <c r="Z123" s="29"/>
      <c r="AA123" s="30"/>
      <c r="AB123" s="30"/>
      <c r="AC123" s="30"/>
      <c r="AD123" s="30"/>
      <c r="AE123" s="30"/>
      <c r="AF123" s="30"/>
      <c r="AG123" s="30"/>
      <c r="AH123" s="30"/>
      <c r="AI123" s="30"/>
      <c r="AJ123" s="30"/>
      <c r="AK123" s="30"/>
      <c r="AL123" s="30"/>
      <c r="AM123" s="30"/>
      <c r="AN123" s="30"/>
      <c r="AO123" s="30"/>
      <c r="AP123" s="30"/>
      <c r="AQ123" s="30"/>
      <c r="AR123" s="30"/>
      <c r="AS123" s="30"/>
      <c r="AT123" s="30"/>
      <c r="AU123" s="30"/>
    </row>
    <row r="124" spans="1:47" s="31" customFormat="1" ht="15" customHeight="1" x14ac:dyDescent="0.35">
      <c r="A124" s="64" t="s">
        <v>379</v>
      </c>
      <c r="B124" s="35" t="s">
        <v>380</v>
      </c>
      <c r="C124" s="35"/>
      <c r="D124" s="35"/>
      <c r="E124" s="35"/>
      <c r="F124" s="35"/>
      <c r="G124" s="35" t="s">
        <v>121</v>
      </c>
      <c r="H124" s="35" t="s">
        <v>123</v>
      </c>
      <c r="I124" s="35" t="s">
        <v>6</v>
      </c>
      <c r="J124" s="36">
        <v>1.33</v>
      </c>
      <c r="K124" s="36">
        <v>0.76</v>
      </c>
      <c r="L124" s="36">
        <v>49</v>
      </c>
      <c r="M124" s="36">
        <v>60</v>
      </c>
      <c r="N124" s="62">
        <v>4</v>
      </c>
      <c r="O124" s="35"/>
      <c r="P124" s="35"/>
      <c r="Q124" s="40">
        <f t="shared" si="28"/>
        <v>1.1720000000000002</v>
      </c>
      <c r="R124" s="38">
        <f t="shared" si="21"/>
        <v>0.73</v>
      </c>
      <c r="S124" s="38"/>
      <c r="T124" s="38"/>
      <c r="U124" s="44" t="str">
        <f t="shared" si="30"/>
        <v>Fail</v>
      </c>
      <c r="V124" s="28" t="str">
        <f t="shared" si="31"/>
        <v>Fail</v>
      </c>
      <c r="W124" s="28" t="str">
        <f t="shared" si="32"/>
        <v>Fail</v>
      </c>
      <c r="X124" s="28" t="str">
        <f t="shared" si="33"/>
        <v>Fail</v>
      </c>
      <c r="Y124" s="28" t="str">
        <f t="shared" si="34"/>
        <v>Fail</v>
      </c>
      <c r="Z124" s="29"/>
      <c r="AA124" s="30"/>
      <c r="AB124" s="30"/>
      <c r="AC124" s="30"/>
      <c r="AD124" s="30"/>
      <c r="AE124" s="30"/>
      <c r="AF124" s="30"/>
      <c r="AG124" s="30"/>
      <c r="AH124" s="30"/>
      <c r="AI124" s="30"/>
      <c r="AJ124" s="30"/>
      <c r="AK124" s="30"/>
      <c r="AL124" s="30"/>
      <c r="AM124" s="30"/>
      <c r="AN124" s="30"/>
      <c r="AO124" s="30"/>
      <c r="AP124" s="30"/>
      <c r="AQ124" s="30"/>
      <c r="AR124" s="30"/>
      <c r="AS124" s="30"/>
      <c r="AT124" s="30"/>
      <c r="AU124" s="30"/>
    </row>
    <row r="125" spans="1:47" s="31" customFormat="1" x14ac:dyDescent="0.35">
      <c r="A125" s="64" t="s">
        <v>381</v>
      </c>
      <c r="B125" s="35" t="s">
        <v>382</v>
      </c>
      <c r="C125" s="35"/>
      <c r="D125" s="35"/>
      <c r="E125" s="35"/>
      <c r="F125" s="35"/>
      <c r="G125" s="35" t="s">
        <v>121</v>
      </c>
      <c r="H125" s="35" t="s">
        <v>123</v>
      </c>
      <c r="I125" s="35" t="s">
        <v>6</v>
      </c>
      <c r="J125" s="36">
        <v>1.69</v>
      </c>
      <c r="K125" s="36">
        <v>0.56999999999999995</v>
      </c>
      <c r="L125" s="36">
        <v>62</v>
      </c>
      <c r="M125" s="36">
        <v>73.7</v>
      </c>
      <c r="N125" s="62">
        <v>3</v>
      </c>
      <c r="O125" s="35"/>
      <c r="P125" s="35"/>
      <c r="Q125" s="40">
        <f t="shared" si="28"/>
        <v>1.0390000000000001</v>
      </c>
      <c r="R125" s="38">
        <f t="shared" si="21"/>
        <v>0.64749999999999996</v>
      </c>
      <c r="S125" s="38"/>
      <c r="T125" s="38"/>
      <c r="U125" s="44" t="str">
        <f t="shared" si="30"/>
        <v>Fail</v>
      </c>
      <c r="V125" s="28" t="str">
        <f t="shared" si="31"/>
        <v>Fail</v>
      </c>
      <c r="W125" s="28" t="str">
        <f t="shared" si="32"/>
        <v>Pass</v>
      </c>
      <c r="X125" s="28" t="str">
        <f t="shared" si="33"/>
        <v>Pass</v>
      </c>
      <c r="Y125" s="28" t="str">
        <f t="shared" si="34"/>
        <v>Fail</v>
      </c>
      <c r="Z125" s="29"/>
      <c r="AA125" s="30"/>
      <c r="AB125" s="30"/>
      <c r="AC125" s="30"/>
      <c r="AD125" s="30"/>
      <c r="AE125" s="30"/>
      <c r="AF125" s="30"/>
      <c r="AG125" s="30"/>
      <c r="AH125" s="30"/>
      <c r="AI125" s="30"/>
      <c r="AJ125" s="30"/>
      <c r="AK125" s="30"/>
      <c r="AL125" s="30"/>
      <c r="AM125" s="30"/>
      <c r="AN125" s="30"/>
      <c r="AO125" s="30"/>
      <c r="AP125" s="30"/>
      <c r="AQ125" s="30"/>
      <c r="AR125" s="30"/>
      <c r="AS125" s="30"/>
      <c r="AT125" s="30"/>
      <c r="AU125" s="30"/>
    </row>
    <row r="126" spans="1:47" s="31" customFormat="1" x14ac:dyDescent="0.35">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row>
    <row r="127" spans="1:47" s="31" customFormat="1" ht="22" customHeight="1" x14ac:dyDescent="0.35">
      <c r="A127" s="239" t="s">
        <v>351</v>
      </c>
      <c r="B127" s="240"/>
      <c r="C127" s="240"/>
      <c r="D127" s="240"/>
      <c r="E127" s="240"/>
      <c r="F127" s="240"/>
      <c r="G127" s="240"/>
      <c r="H127" s="240"/>
      <c r="I127" s="240"/>
      <c r="J127" s="240"/>
      <c r="K127" s="240"/>
      <c r="L127" s="240"/>
      <c r="M127" s="240"/>
      <c r="N127" s="240"/>
      <c r="O127" s="240"/>
      <c r="P127" s="241"/>
      <c r="Q127" s="105"/>
      <c r="R127" s="105"/>
      <c r="S127" s="105"/>
      <c r="T127" s="105"/>
      <c r="U127" s="105"/>
      <c r="V127" s="105"/>
      <c r="W127" s="105"/>
      <c r="X127" s="105"/>
      <c r="Y127" s="105"/>
      <c r="Z127" s="38"/>
      <c r="AA127" s="30"/>
      <c r="AB127" s="30"/>
      <c r="AC127" s="30"/>
      <c r="AD127" s="30"/>
      <c r="AE127" s="30"/>
      <c r="AF127" s="30"/>
      <c r="AG127" s="30"/>
      <c r="AH127" s="30"/>
      <c r="AI127" s="30"/>
      <c r="AJ127" s="30"/>
      <c r="AK127" s="30"/>
      <c r="AL127" s="30"/>
      <c r="AM127" s="30"/>
      <c r="AN127" s="30"/>
      <c r="AO127" s="30"/>
      <c r="AP127" s="30"/>
      <c r="AQ127" s="30"/>
      <c r="AR127" s="30"/>
      <c r="AS127" s="30"/>
      <c r="AT127" s="30"/>
      <c r="AU127" s="30"/>
    </row>
    <row r="128" spans="1:47" ht="18.5" x14ac:dyDescent="0.45">
      <c r="A128" s="98"/>
      <c r="B128" s="242" t="s">
        <v>352</v>
      </c>
      <c r="C128" s="243"/>
      <c r="D128" s="243"/>
      <c r="E128" s="243"/>
      <c r="F128" s="243"/>
      <c r="G128" s="243"/>
      <c r="H128" s="243"/>
      <c r="I128" s="243"/>
      <c r="J128" s="243"/>
      <c r="K128" s="243"/>
      <c r="L128" s="243"/>
      <c r="M128" s="243"/>
      <c r="N128" s="243"/>
      <c r="O128" s="243"/>
      <c r="P128" s="244"/>
      <c r="Q128" s="106"/>
      <c r="R128" s="106"/>
      <c r="S128" s="106"/>
      <c r="T128" s="106"/>
      <c r="U128" s="106"/>
      <c r="V128" s="106"/>
      <c r="W128" s="106"/>
      <c r="X128" s="106"/>
      <c r="Y128" s="106"/>
      <c r="Z128" s="38"/>
    </row>
    <row r="129" spans="1:26" ht="18.5" x14ac:dyDescent="0.45">
      <c r="A129" s="102"/>
      <c r="B129" s="99" t="s">
        <v>353</v>
      </c>
      <c r="C129" s="99"/>
      <c r="D129" s="99"/>
      <c r="E129" s="99"/>
      <c r="F129" s="99"/>
      <c r="G129" s="99"/>
      <c r="H129" s="99"/>
      <c r="I129" s="99"/>
      <c r="J129" s="99"/>
      <c r="K129" s="99"/>
      <c r="L129" s="99"/>
      <c r="M129" s="99"/>
      <c r="N129" s="100"/>
      <c r="O129" s="99"/>
      <c r="P129" s="101"/>
      <c r="Q129" s="30"/>
    </row>
    <row r="130" spans="1:26" ht="18.5" x14ac:dyDescent="0.45">
      <c r="A130" s="103"/>
      <c r="B130" s="99" t="s">
        <v>354</v>
      </c>
      <c r="C130" s="99"/>
      <c r="D130" s="99"/>
      <c r="E130" s="99"/>
      <c r="F130" s="99"/>
      <c r="G130" s="99"/>
      <c r="H130" s="99"/>
      <c r="I130" s="99"/>
      <c r="J130" s="99"/>
      <c r="K130" s="99"/>
      <c r="L130" s="99"/>
      <c r="M130" s="99"/>
      <c r="N130" s="100"/>
      <c r="O130" s="99"/>
      <c r="P130" s="101"/>
      <c r="Q130" s="30"/>
    </row>
    <row r="131" spans="1:26" ht="18.5" x14ac:dyDescent="0.45">
      <c r="A131" s="104"/>
      <c r="B131" s="99" t="s">
        <v>355</v>
      </c>
      <c r="C131" s="99"/>
      <c r="D131" s="99"/>
      <c r="E131" s="99"/>
      <c r="F131" s="99"/>
      <c r="G131" s="99"/>
      <c r="H131" s="99"/>
      <c r="I131" s="99"/>
      <c r="J131" s="99"/>
      <c r="K131" s="99"/>
      <c r="L131" s="99"/>
      <c r="M131" s="99"/>
      <c r="N131" s="100"/>
      <c r="O131" s="99"/>
      <c r="P131" s="101"/>
      <c r="Q131" s="30"/>
    </row>
    <row r="132" spans="1:26" x14ac:dyDescent="0.35">
      <c r="Q132" s="30"/>
    </row>
    <row r="133" spans="1:26" x14ac:dyDescent="0.35">
      <c r="Q133" s="30"/>
    </row>
    <row r="134" spans="1:26" x14ac:dyDescent="0.35">
      <c r="J134" s="38"/>
      <c r="K134" s="38"/>
      <c r="O134" s="38"/>
      <c r="P134" s="38"/>
      <c r="Q134" s="30"/>
    </row>
    <row r="135" spans="1:26" x14ac:dyDescent="0.35">
      <c r="J135" s="38"/>
      <c r="K135" s="38"/>
      <c r="O135" s="38"/>
      <c r="P135" s="38"/>
      <c r="Q135" s="30"/>
    </row>
    <row r="136" spans="1:26" x14ac:dyDescent="0.35">
      <c r="J136" s="38"/>
      <c r="K136" s="38"/>
      <c r="O136" s="38"/>
      <c r="P136" s="38"/>
      <c r="Q136" s="30"/>
    </row>
    <row r="137" spans="1:26" x14ac:dyDescent="0.35">
      <c r="Q137" s="30"/>
    </row>
    <row r="138" spans="1:26" ht="15.5" x14ac:dyDescent="0.35">
      <c r="C138" s="238" t="s">
        <v>356</v>
      </c>
      <c r="D138" s="238"/>
      <c r="E138" s="238"/>
      <c r="F138" s="238"/>
      <c r="G138" s="238"/>
      <c r="H138" s="238"/>
      <c r="I138" s="238"/>
      <c r="J138" s="238"/>
      <c r="K138" s="238"/>
      <c r="L138" s="238"/>
      <c r="M138" s="238"/>
      <c r="N138" s="238"/>
      <c r="O138" s="238"/>
      <c r="Q138" s="30"/>
    </row>
    <row r="139" spans="1:26" s="44" customFormat="1" ht="31.5" customHeight="1" x14ac:dyDescent="0.35">
      <c r="B139" s="91" t="s">
        <v>164</v>
      </c>
      <c r="C139" s="91">
        <v>3</v>
      </c>
      <c r="D139" s="91">
        <v>4</v>
      </c>
      <c r="E139" s="91">
        <v>5</v>
      </c>
      <c r="F139" s="91">
        <v>6</v>
      </c>
      <c r="G139" s="91">
        <v>7</v>
      </c>
      <c r="H139" s="91">
        <v>10</v>
      </c>
      <c r="I139" s="91">
        <v>12</v>
      </c>
      <c r="J139" s="91">
        <v>14</v>
      </c>
      <c r="K139" s="91">
        <v>16</v>
      </c>
      <c r="L139" s="91">
        <v>20</v>
      </c>
      <c r="M139" s="91">
        <v>22</v>
      </c>
      <c r="N139" s="91">
        <v>24</v>
      </c>
      <c r="O139" s="92">
        <v>32</v>
      </c>
      <c r="P139" s="91">
        <v>40</v>
      </c>
      <c r="Q139" s="93" t="s">
        <v>151</v>
      </c>
    </row>
    <row r="140" spans="1:26" x14ac:dyDescent="0.35">
      <c r="A140" s="30">
        <v>1</v>
      </c>
      <c r="B140" s="49" t="s">
        <v>211</v>
      </c>
      <c r="C140" s="44">
        <f>COUNTIFS($C$2:$C$127, "Convotherm", $U$2:$U$127, "Pass",$N$2:$N$127, "3")</f>
        <v>0</v>
      </c>
      <c r="D140" s="44">
        <f>COUNTIFS($C$2:$C$127, "Convotherm", $U$2:$U$127, "Pass",$N$2:$N$127, "4")</f>
        <v>1</v>
      </c>
      <c r="E140" s="44">
        <f>COUNTIFS($C$2:$C$127, "Convotherm", $U$2:$U$127, "Pass",$N$2:$N$127, "5")</f>
        <v>0</v>
      </c>
      <c r="F140" s="44">
        <f>COUNTIFS($C$2:$C$127, "Convotherm", $U$2:$U$127, "Pass",$N$2:$N$127, "6")</f>
        <v>0</v>
      </c>
      <c r="G140" s="44">
        <f>COUNTIFS($C$2:$C$127, "Convotherm", $U$2:$U$127, "Pass",$N$2:$N$127, "7")</f>
        <v>0</v>
      </c>
      <c r="H140" s="44">
        <f>COUNTIFS($C$2:$C$127, "Convotherm", $U$2:$U$127, "Pass",$N$2:$N$127, "10")</f>
        <v>0</v>
      </c>
      <c r="I140" s="44">
        <f>COUNTIFS($C$2:$C$127, "Convotherm", $U$2:$U$127, "Pass",$N$2:$N$127, "12")</f>
        <v>0</v>
      </c>
      <c r="J140" s="44">
        <f>COUNTIFS($C$2:$C$127, "Convotherm", $U$2:$U$127, "Pass",$N$2:$N$127, "14")</f>
        <v>2</v>
      </c>
      <c r="K140" s="44">
        <f>COUNTIFS($C$2:$C$127, "Convotherm", $U$2:$U$127, "Pass",$N$2:$N$127, "16")</f>
        <v>0</v>
      </c>
      <c r="L140" s="44">
        <f>COUNTIFS($C$2:$C$127, "Convotherm", $U$2:$U$127, "Pass",$N$2:$N$127, "20")</f>
        <v>3</v>
      </c>
      <c r="M140" s="44">
        <f>COUNTIFS($C$2:$C$127, "Convotherm", $U$2:$U$127, "Pass",$N$2:$N$127, "22")</f>
        <v>2</v>
      </c>
      <c r="N140" s="44">
        <f>COUNTIFS($C$2:$C$127, "Convotherm", $U$2:$U$127, "Pass",$N$2:$N$127, "24")</f>
        <v>0</v>
      </c>
      <c r="O140" s="44">
        <f>COUNTIFS($C$2:$C$127, "Convotherm", $U$2:$U$127, "Pass",$N$2:$N$127, "32")</f>
        <v>0</v>
      </c>
      <c r="P140" s="44">
        <f>COUNTIFS($C$2:$C$127, "Convotherm", $U$2:$U$127, "Pass",$N$2:$N$127, "40")</f>
        <v>0</v>
      </c>
      <c r="Q140" s="48">
        <f>SUM(C140:P140)</f>
        <v>8</v>
      </c>
      <c r="U140" s="30"/>
      <c r="V140" s="44"/>
      <c r="W140" s="34"/>
      <c r="X140" s="34"/>
      <c r="Y140" s="34"/>
      <c r="Z140" s="34"/>
    </row>
    <row r="141" spans="1:26" x14ac:dyDescent="0.35">
      <c r="A141" s="30">
        <v>2</v>
      </c>
      <c r="B141" s="49" t="s">
        <v>223</v>
      </c>
      <c r="C141" s="44">
        <f>COUNTIFS($C$2:$C$127, "Electrolux", $U$2:$U$127, "Pass",$N$2:$N$127, "3")</f>
        <v>0</v>
      </c>
      <c r="D141" s="44">
        <f>COUNTIFS($C$2:$C$127, "Electrolux", $U$2:$U$127, "Pass",$N$2:$N$127, "4")</f>
        <v>0</v>
      </c>
      <c r="E141" s="44">
        <f>COUNTIFS($C$2:$C$127, "Electrolux", $U$2:$U$127, "Pass",$N$2:$N$127, "5")</f>
        <v>0</v>
      </c>
      <c r="F141" s="44">
        <f>COUNTIFS($C$2:$C$127, "Electrolux", $U$2:$U$127, "Pass",$N$2:$N$127, "6")</f>
        <v>0</v>
      </c>
      <c r="G141" s="44">
        <f>COUNTIFS($C$2:$C$127, "Electrolux", $U$2:$U$127, "Pass",$N$2:$N$127, "7")</f>
        <v>0</v>
      </c>
      <c r="H141" s="44">
        <f>COUNTIFS($C$2:$C$127, "Electrolux", $U$2:$U$127, "Pass",$N$2:$N$127, "10")</f>
        <v>0</v>
      </c>
      <c r="I141" s="44">
        <f>COUNTIFS($C$2:$C$127, "Electrolux", $U$2:$U$127, "Pass",$N$2:$N$127, "12")</f>
        <v>0</v>
      </c>
      <c r="J141" s="44">
        <f>COUNTIFS($C$2:$C$127, "Electrolux", $U$2:$U$127, "Pass",$N$2:$N$127, "14")</f>
        <v>0</v>
      </c>
      <c r="K141" s="44">
        <f>COUNTIFS($C$2:$C$127, "Electrolux", $U$2:$U$127, "Pass",$N$2:$N$127, "16")</f>
        <v>0</v>
      </c>
      <c r="L141" s="44">
        <f>COUNTIFS($C$2:$C$127, "Electrolux", $U$2:$U$127, "Pass",$N$2:$N$127, "20")</f>
        <v>0</v>
      </c>
      <c r="M141" s="44">
        <f>COUNTIFS($C$2:$C$127, "Electrolux", $U$2:$U$127, "Pass",$N$2:$N$127, "22")</f>
        <v>0</v>
      </c>
      <c r="N141" s="44">
        <f>COUNTIFS($C$2:$C$127, "Electrolux", $U$2:$U$127, "Pass",$N$2:$N$127, "24")</f>
        <v>0</v>
      </c>
      <c r="O141" s="44">
        <f>COUNTIFS($C$2:$C$127, "Electrolux", $U$2:$U$127, "Pass",$N$2:$N$127, "32")</f>
        <v>0</v>
      </c>
      <c r="P141" s="44">
        <f>COUNTIFS($C$2:$C$127, "Electrolux", $U$2:$U$127, "Pass",$N$2:$N$127, "40")</f>
        <v>0</v>
      </c>
      <c r="Q141" s="48">
        <f t="shared" ref="Q141:Q158" si="35">SUM(C141:P141)</f>
        <v>0</v>
      </c>
      <c r="U141" s="30"/>
      <c r="V141" s="44"/>
      <c r="W141" s="34"/>
      <c r="X141" s="34"/>
      <c r="Y141" s="34"/>
      <c r="Z141" s="34"/>
    </row>
    <row r="142" spans="1:26" x14ac:dyDescent="0.35">
      <c r="A142" s="30">
        <v>3</v>
      </c>
      <c r="B142" s="49" t="s">
        <v>256</v>
      </c>
      <c r="C142" s="44">
        <f>COUNTIFS($C$2:$C$127, "Lainox", $U$2:$U$127, "Pass",$N$2:$N$127, "3")</f>
        <v>0</v>
      </c>
      <c r="D142" s="44">
        <f>COUNTIFS($C$2:$C$127, "Lainox", $U$2:$U$127, "Pass",$N$2:$N$127, "4")</f>
        <v>0</v>
      </c>
      <c r="E142" s="44">
        <f>COUNTIFS($C$2:$C$127, "Lainox", $U$2:$U$127, "Pass",$N$2:$N$127, "5")</f>
        <v>0</v>
      </c>
      <c r="F142" s="44">
        <f>COUNTIFS($C$2:$C$127, "Lainox", $U$2:$U$127, "Pass",$N$2:$N$127, "6")</f>
        <v>0</v>
      </c>
      <c r="G142" s="44">
        <f>COUNTIFS($C$2:$C$127, "Lainox", $U$2:$U$127, "Pass",$N$2:$N$127, "7")</f>
        <v>0</v>
      </c>
      <c r="H142" s="44">
        <f>COUNTIFS($C$2:$C$127, "Lainox", $U$2:$U$127, "Pass",$N$2:$N$127, "10")</f>
        <v>0</v>
      </c>
      <c r="I142" s="44">
        <f>COUNTIFS($C$2:$C$127, "Lainox", $U$2:$U$127, "Pass",$N$2:$N$127, "12")</f>
        <v>0</v>
      </c>
      <c r="J142" s="44">
        <f>COUNTIFS($C$2:$C$127, "Lainox", $U$2:$U$127, "Pass",$N$2:$N$127, "14")</f>
        <v>1</v>
      </c>
      <c r="K142" s="44">
        <f>COUNTIFS($C$2:$C$127, "Lainox", $U$2:$U$127, "Pass",$N$2:$N$127, "16")</f>
        <v>0</v>
      </c>
      <c r="L142" s="44">
        <f>COUNTIFS($C$2:$C$127, "Lainox", $U$2:$U$127, "Pass",$N$2:$N$127, "20")</f>
        <v>4</v>
      </c>
      <c r="M142" s="44">
        <f>COUNTIFS($C$2:$C$127, "Lainox", $U$2:$U$127, "Pass",$N$2:$N$127, "22")</f>
        <v>0</v>
      </c>
      <c r="N142" s="44">
        <f>COUNTIFS($C$2:$C$127, "Lainox", $U$2:$U$127, "Pass",$N$2:$N$127, "24")</f>
        <v>0</v>
      </c>
      <c r="O142" s="44">
        <f>COUNTIFS($C$2:$C$127, "Lainox", $U$2:$U$127, "Pass",$N$2:$N$127, "32")</f>
        <v>0</v>
      </c>
      <c r="P142" s="44">
        <f>COUNTIFS($C$2:$C$127, "Lainox", $U$2:$U$127, "Pass",$N$2:$N$127, "40")</f>
        <v>0</v>
      </c>
      <c r="Q142" s="48">
        <f t="shared" si="35"/>
        <v>5</v>
      </c>
      <c r="U142" s="30"/>
      <c r="V142" s="44"/>
      <c r="W142" s="34"/>
      <c r="X142" s="34"/>
      <c r="Y142" s="34"/>
      <c r="Z142" s="34"/>
    </row>
    <row r="143" spans="1:26" x14ac:dyDescent="0.35">
      <c r="A143" s="30">
        <v>4</v>
      </c>
      <c r="B143" s="49" t="s">
        <v>244</v>
      </c>
      <c r="C143" s="44">
        <f>COUNTIFS($C$2:$C$127, "Henny Penny", $U$2:$U$127, "Pass",$N$2:$N$127, "3")</f>
        <v>0</v>
      </c>
      <c r="D143" s="44">
        <f>COUNTIFS($C$2:$C$127, "Henny Penny", $U$2:$U$127, "Pass",$N$2:$N$127, "4")</f>
        <v>0</v>
      </c>
      <c r="E143" s="44">
        <f>COUNTIFS($C$2:$C$127, "Henny Penny", $U$2:$U$127, "Pass",$N$2:$N$127, "5")</f>
        <v>0</v>
      </c>
      <c r="F143" s="44">
        <f>COUNTIFS($C$2:$C$127, "Henny Penny", $U$2:$U$127, "Pass",$N$2:$N$127, "6")</f>
        <v>2</v>
      </c>
      <c r="G143" s="44">
        <f>COUNTIFS($C$2:$C$127, "Henny Penny", $U$2:$U$127, "Pass",$N$2:$N$127, "7")</f>
        <v>0</v>
      </c>
      <c r="H143" s="44">
        <f>COUNTIFS($C$2:$C$127, "Henny Penny", $U$2:$U$127, "Pass",$N$2:$N$127, "10")</f>
        <v>0</v>
      </c>
      <c r="I143" s="44">
        <f>COUNTIFS($C$2:$C$127, "Henny Penny", $U$2:$U$127, "Pass",$N$2:$N$127, "12")</f>
        <v>1</v>
      </c>
      <c r="J143" s="44">
        <f>COUNTIFS($C$2:$C$127, "Henny Penny", $U$2:$U$127, "Pass",$N$2:$N$127, "14")</f>
        <v>0</v>
      </c>
      <c r="K143" s="44">
        <f>COUNTIFS($C$2:$C$127, "Henny Penny", $U$2:$U$127, "Pass",$N$2:$N$127, "16")</f>
        <v>0</v>
      </c>
      <c r="L143" s="44">
        <f>COUNTIFS($C$2:$C$127, "Henny Penny", $U$2:$U$127, "Pass",$N$2:$N$127, "20")</f>
        <v>2</v>
      </c>
      <c r="M143" s="44">
        <f>COUNTIFS($C$2:$C$127, "Henny Penny", $U$2:$U$127, "Pass",$N$2:$N$127, "22")</f>
        <v>0</v>
      </c>
      <c r="N143" s="44">
        <f>COUNTIFS($C$2:$C$127, "Henny Penny", $U$2:$U$127, "Pass",$N$2:$N$127, "24")</f>
        <v>0</v>
      </c>
      <c r="O143" s="44">
        <f>COUNTIFS($C$2:$C$127, "Henny Penny", $U$2:$U$127, "Pass",$N$2:$N$127, "32")</f>
        <v>0</v>
      </c>
      <c r="P143" s="44">
        <f>COUNTIFS($C$2:$C$127, "Henny Penny", $U$2:$U$127, "Pass",$N$2:$N$127, "40")</f>
        <v>0</v>
      </c>
      <c r="Q143" s="48">
        <f t="shared" si="35"/>
        <v>5</v>
      </c>
      <c r="U143" s="30"/>
      <c r="V143" s="44"/>
      <c r="W143" s="34"/>
      <c r="X143" s="34"/>
      <c r="Y143" s="34"/>
      <c r="Z143" s="34"/>
    </row>
    <row r="144" spans="1:26" x14ac:dyDescent="0.35">
      <c r="A144" s="30">
        <v>5</v>
      </c>
      <c r="B144" s="49" t="s">
        <v>279</v>
      </c>
      <c r="C144" s="44">
        <f>COUNTIFS($C$2:$C$127, "Rational AG", $U$2:$U$127, "Pass",$N$2:$N$127, "3")</f>
        <v>0</v>
      </c>
      <c r="D144" s="44">
        <f>COUNTIFS($C$2:$C$127, "Rational AG", $U$2:$U$127, "Pass",$N$2:$N$127, "4")</f>
        <v>0</v>
      </c>
      <c r="E144" s="44">
        <f>COUNTIFS($C$2:$C$127, "Rational AG", $U$2:$U$127, "Pass",$N$2:$N$127, "5")</f>
        <v>0</v>
      </c>
      <c r="F144" s="44">
        <f>COUNTIFS($C$2:$C$127, "Rational AG", $U$2:$U$127, "Pass",$N$2:$N$127, "6")</f>
        <v>0</v>
      </c>
      <c r="G144" s="44">
        <f>COUNTIFS($C$2:$C$127, "Rational AG", $U$2:$U$127, "Pass",$N$2:$N$127, "7")</f>
        <v>0</v>
      </c>
      <c r="H144" s="44">
        <f>COUNTIFS($C$2:$C$127, "Rational AG", $U$2:$U$127, "Pass",$N$2:$N$127, "10")</f>
        <v>1</v>
      </c>
      <c r="I144" s="44">
        <f>COUNTIFS($C$2:$C$127, "Rational AG", $U$2:$U$127, "Pass",$N$2:$N$127, "12")</f>
        <v>4</v>
      </c>
      <c r="J144" s="44">
        <f>COUNTIFS($C$2:$C$127, "Rational AG", $U$2:$U$127, "Pass",$N$2:$N$127, "14")</f>
        <v>0</v>
      </c>
      <c r="K144" s="44">
        <f>COUNTIFS($C$2:$C$127, "Rational AG", $U$2:$U$127, "Pass",$N$2:$N$127, "16")</f>
        <v>0</v>
      </c>
      <c r="L144" s="44">
        <f>COUNTIFS($C$2:$C$127, "Rational AG", $U$2:$U$127, "Pass",$N$2:$N$127, "20")</f>
        <v>5</v>
      </c>
      <c r="M144" s="44">
        <f>COUNTIFS($C$2:$C$127, "Rational AG", $U$2:$U$127, "Pass",$N$2:$N$127, "22")</f>
        <v>0</v>
      </c>
      <c r="N144" s="44">
        <f>COUNTIFS($C$2:$C$127, "Rational AG", $U$2:$U$127, "Pass",$N$2:$N$127, "24")</f>
        <v>0</v>
      </c>
      <c r="O144" s="44">
        <f>COUNTIFS($C$2:$C$127, "Rational AG", $U$2:$U$127, "Pass",$N$2:$N$127, "32")</f>
        <v>0</v>
      </c>
      <c r="P144" s="44">
        <f>COUNTIFS($C$2:$C$127, "Rational AG", $U$2:$U$127, "Pass",$N$2:$N$127, "40")</f>
        <v>1</v>
      </c>
      <c r="Q144" s="48">
        <f t="shared" si="35"/>
        <v>11</v>
      </c>
      <c r="U144" s="30"/>
      <c r="V144" s="44"/>
      <c r="W144" s="34"/>
      <c r="X144" s="34"/>
      <c r="Y144" s="34"/>
      <c r="Z144" s="34"/>
    </row>
    <row r="145" spans="1:26" x14ac:dyDescent="0.35">
      <c r="A145" s="30">
        <v>6</v>
      </c>
      <c r="B145" s="49" t="s">
        <v>185</v>
      </c>
      <c r="C145" s="44">
        <f>COUNTIFS($C$2:$C$127, "AccuTemp", $U$2:$U$127, "Pass",$N$2:$N$127, "3")</f>
        <v>0</v>
      </c>
      <c r="D145" s="44">
        <f>COUNTIFS($C$2:$C$127, "AccuTemp", $U$2:$U$127, "Pass",$N$2:$N$127, "4")</f>
        <v>0</v>
      </c>
      <c r="E145" s="44">
        <f>COUNTIFS($C$2:$C$127, "AccuTemp", $U$2:$U$127, "Pass",$N$2:$N$127, "5")</f>
        <v>0</v>
      </c>
      <c r="F145" s="44">
        <f>COUNTIFS($C$2:$C$127, "AccuTemp", $U$2:$U$127, "Pass",$N$2:$N$127, "6")</f>
        <v>0</v>
      </c>
      <c r="G145" s="44">
        <f>COUNTIFS($C$2:$C$127, "AccuTemp", $U$2:$U$127, "Pass",$N$2:$N$127, "7")</f>
        <v>0</v>
      </c>
      <c r="H145" s="44">
        <f>COUNTIFS($C$2:$C$127, "AccuTemp", $U$2:$U$127, "Pass",$N$2:$N$127, "10")</f>
        <v>0</v>
      </c>
      <c r="I145" s="44">
        <f>COUNTIFS($C$2:$C$127, "AccuTemp", $U$2:$U$127, "Pass",$N$2:$N$127, "12")</f>
        <v>1</v>
      </c>
      <c r="J145" s="44">
        <f>COUNTIFS($C$2:$C$127, "AccuTemp", $U$2:$U$127, "Pass",$N$2:$N$127, "14")</f>
        <v>0</v>
      </c>
      <c r="K145" s="44">
        <f>COUNTIFS($C$2:$C$127, "AccuTemp", $U$2:$U$127, "Pass",$N$2:$N$127, "16")</f>
        <v>0</v>
      </c>
      <c r="L145" s="44">
        <f>COUNTIFS($C$2:$C$127, "AccuTemp", $U$2:$U$127, "Pass",$N$2:$N$127, "20")</f>
        <v>0</v>
      </c>
      <c r="M145" s="44">
        <f>COUNTIFS($C$2:$C$127, "AccuTemp", $U$2:$U$127, "Pass",$N$2:$N$127, "22")</f>
        <v>0</v>
      </c>
      <c r="N145" s="44">
        <f>COUNTIFS($C$2:$C$127, "AccuTemp", $U$2:$U$127, "Pass",$N$2:$N$127, "24")</f>
        <v>0</v>
      </c>
      <c r="O145" s="44">
        <f>COUNTIFS($C$2:$C$127, "AccuTemp", $U$2:$U$127, "Pass",$N$2:$N$127, "32")</f>
        <v>0</v>
      </c>
      <c r="P145" s="44">
        <f>COUNTIFS($C$2:$C$127, "AccuTemp", $U$2:$U$127, "Pass",$N$2:$N$127, "40")</f>
        <v>0</v>
      </c>
      <c r="Q145" s="48">
        <f t="shared" si="35"/>
        <v>1</v>
      </c>
      <c r="U145" s="30"/>
      <c r="V145" s="44"/>
      <c r="W145" s="34"/>
      <c r="X145" s="34"/>
      <c r="Y145" s="34"/>
      <c r="Z145" s="34"/>
    </row>
    <row r="146" spans="1:26" x14ac:dyDescent="0.35">
      <c r="A146" s="30">
        <v>7</v>
      </c>
      <c r="B146" s="49" t="s">
        <v>188</v>
      </c>
      <c r="C146" s="44">
        <f>COUNTIFS($C$2:$C$127, "Alto-Shaam", $U$2:$U$127, "Pass",$N$2:$N$127, "3")</f>
        <v>0</v>
      </c>
      <c r="D146" s="44">
        <f>COUNTIFS($C$2:$C$127, "Alto-Shaam", $U$2:$U$127, "Pass",$N$2:$N$127, "4")</f>
        <v>0</v>
      </c>
      <c r="E146" s="44">
        <f>COUNTIFS($C$2:$C$127, "Alto-Shaam", $U$2:$U$127, "Pass",$N$2:$N$127, "5")</f>
        <v>0</v>
      </c>
      <c r="F146" s="44">
        <f>COUNTIFS($C$2:$C$127, "Alto-Shaam", $U$2:$U$127, "Pass",$N$2:$N$127, "6")</f>
        <v>0</v>
      </c>
      <c r="G146" s="44">
        <f>COUNTIFS($C$2:$C$127, "Alto-Shaam", $U$2:$U$127, "Pass",$N$2:$N$127, "7")</f>
        <v>0</v>
      </c>
      <c r="H146" s="44">
        <f>COUNTIFS($C$2:$C$127, "Alto-Shaam", $U$2:$U$127, "Pass",$N$2:$N$127, "10")</f>
        <v>0</v>
      </c>
      <c r="I146" s="44">
        <f>COUNTIFS($C$2:$C$127, "Alto-Shaam", $U$2:$U$127, "Pass",$N$2:$N$127, "12")</f>
        <v>0</v>
      </c>
      <c r="J146" s="44">
        <f>COUNTIFS($C$2:$C$127, "Alto-Shaam", $U$2:$U$127, "Pass",$N$2:$N$127, "14")</f>
        <v>1</v>
      </c>
      <c r="K146" s="44">
        <f>COUNTIFS($C$2:$C$127, "Alto-Shaam", $U$2:$U$127, "Pass",$N$2:$N$127, "16")</f>
        <v>0</v>
      </c>
      <c r="L146" s="44">
        <f>COUNTIFS($C$2:$C$127, "Alto-Shaam", $U$2:$U$127, "Pass",$N$2:$N$127, "20")</f>
        <v>0</v>
      </c>
      <c r="M146" s="44">
        <f>COUNTIFS($C$2:$C$127, "Alto-Shaam", $U$2:$U$127, "Pass",$N$2:$N$127, "22")</f>
        <v>0</v>
      </c>
      <c r="N146" s="44">
        <f>COUNTIFS($C$2:$C$127, "Alto-Shaam", $U$2:$U$127, "Pass",$N$2:$N$127, "24")</f>
        <v>0</v>
      </c>
      <c r="O146" s="44">
        <f>COUNTIFS($C$2:$C$127, "Alto-Shaam", $U$2:$U$127, "Pass",$N$2:$N$127, "32")</f>
        <v>0</v>
      </c>
      <c r="P146" s="44">
        <f>COUNTIFS($C$2:$C$127, "Alto-Shaam", $U$2:$U$127, "Pass",$N$2:$N$127, "40")</f>
        <v>0</v>
      </c>
      <c r="Q146" s="48">
        <f t="shared" si="35"/>
        <v>1</v>
      </c>
      <c r="U146" s="30"/>
      <c r="V146" s="44"/>
      <c r="W146" s="34"/>
      <c r="X146" s="34"/>
      <c r="Y146" s="34"/>
      <c r="Z146" s="34"/>
    </row>
    <row r="147" spans="1:26" x14ac:dyDescent="0.35">
      <c r="A147" s="30">
        <v>8</v>
      </c>
      <c r="B147" s="49" t="s">
        <v>193</v>
      </c>
      <c r="C147" s="44">
        <f>COUNTIFS($C$2:$C$127, "Angelo Po", $U$2:$U$127, "Pass",$N$2:$N$127, "3")</f>
        <v>0</v>
      </c>
      <c r="D147" s="44">
        <f>COUNTIFS($C$2:$C$127, "Angelo Po", $U$2:$U$127, "Pass",$N$2:$N$127, "4")</f>
        <v>0</v>
      </c>
      <c r="E147" s="44">
        <f>COUNTIFS($C$2:$C$127, "Angelo Po", $U$2:$U$127, "Pass",$N$2:$N$127, "5")</f>
        <v>0</v>
      </c>
      <c r="F147" s="44">
        <f>COUNTIFS($C$2:$C$127, "Angelo Po", $U$2:$U$127, "Pass",$N$2:$N$127, "6")</f>
        <v>0</v>
      </c>
      <c r="G147" s="44">
        <f>COUNTIFS($C$2:$C$127, "Angelo Po", $U$2:$U$127, "Pass",$N$2:$N$127, "7")</f>
        <v>0</v>
      </c>
      <c r="H147" s="44">
        <f>COUNTIFS($C$2:$C$127, "Angelo Po", $U$2:$U$127, "Pass",$N$2:$N$127, "10")</f>
        <v>0</v>
      </c>
      <c r="I147" s="44">
        <f>COUNTIFS($C$2:$C$127, "Angelo Po", $U$2:$U$127, "Pass",$N$2:$N$127, "12")</f>
        <v>0</v>
      </c>
      <c r="J147" s="44">
        <f>COUNTIFS($C$2:$C$127, "Angelo Po", $U$2:$U$127, "Pass",$N$2:$N$127, "14")</f>
        <v>0</v>
      </c>
      <c r="K147" s="44">
        <f>COUNTIFS($C$2:$C$127, "Angelo Po", $U$2:$U$127, "Pass",$N$2:$N$127, "16")</f>
        <v>0</v>
      </c>
      <c r="L147" s="44">
        <f>COUNTIFS($C$2:$C$127, "Angelo Po", $U$2:$U$127, "Pass",$N$2:$N$127, "20")</f>
        <v>0</v>
      </c>
      <c r="M147" s="44">
        <f>COUNTIFS($C$2:$C$127, "Angelo Po", $U$2:$U$127, "Pass",$N$2:$N$127, "22")</f>
        <v>0</v>
      </c>
      <c r="N147" s="44">
        <f>COUNTIFS($C$2:$C$127, "Angelo Po", $U$2:$U$127, "Pass",$N$2:$N$127, "24")</f>
        <v>1</v>
      </c>
      <c r="O147" s="44">
        <f>COUNTIFS($C$2:$C$127, "Angelo Po", $U$2:$U$127, "Pass",$N$2:$N$127, "32")</f>
        <v>0</v>
      </c>
      <c r="P147" s="44">
        <f>COUNTIFS($C$2:$C$127, "Angelo Po", $U$2:$U$127, "Pass",$N$2:$N$127, "40")</f>
        <v>1</v>
      </c>
      <c r="Q147" s="48">
        <f t="shared" si="35"/>
        <v>2</v>
      </c>
      <c r="U147" s="30"/>
      <c r="V147" s="44"/>
      <c r="W147" s="34"/>
      <c r="X147" s="34"/>
      <c r="Y147" s="34"/>
      <c r="Z147" s="34"/>
    </row>
    <row r="148" spans="1:26" x14ac:dyDescent="0.35">
      <c r="A148" s="30">
        <v>9</v>
      </c>
      <c r="B148" s="49" t="s">
        <v>299</v>
      </c>
      <c r="C148" s="44">
        <f>COUNTIFS($C$2:$C$127, "Unox S.p.A.", $U$2:$U$127, "Pass",$N$2:$N$127, "3")</f>
        <v>0</v>
      </c>
      <c r="D148" s="44">
        <f>COUNTIFS($C$2:$C$127, "Unox S.p.A.", $U$2:$U$127, "Pass",$N$2:$N$127, "4")</f>
        <v>0</v>
      </c>
      <c r="E148" s="44">
        <f>COUNTIFS($C$2:$C$127, "Unox S.p.A.", $U$2:$U$127, "Pass",$N$2:$N$127, "5")</f>
        <v>2</v>
      </c>
      <c r="F148" s="44">
        <f>COUNTIFS($C$2:$C$127, "Unox S.p.A.", $U$2:$U$127, "Pass",$N$2:$N$127, "6")</f>
        <v>0</v>
      </c>
      <c r="G148" s="44">
        <f>COUNTIFS($C$2:$C$127, "Unox S.p.A.", $U$2:$U$127, "Pass",$N$2:$N$127, "7")</f>
        <v>0</v>
      </c>
      <c r="H148" s="44">
        <f>COUNTIFS($C$2:$C$127, "Unox S.p.A.", $U$2:$U$127, "Pass",$N$2:$N$127, "10")</f>
        <v>1</v>
      </c>
      <c r="I148" s="44">
        <f>COUNTIFS($C$2:$C$127, "Unox S.p.A.", $U$2:$U$127, "Pass",$N$2:$N$127, "12")</f>
        <v>1</v>
      </c>
      <c r="J148" s="44">
        <f>COUNTIFS($C$2:$C$127, "Unox S.p.A.", $U$2:$U$127, "Pass",$N$2:$N$127, "14")</f>
        <v>0</v>
      </c>
      <c r="K148" s="44">
        <f>COUNTIFS($C$2:$C$127, "Unox S.p.A.", $U$2:$U$127, "Pass",$N$2:$N$127, "16")</f>
        <v>0</v>
      </c>
      <c r="L148" s="44">
        <f>COUNTIFS($C$2:$C$127, "Unox S.p.A.", $U$2:$U$127, "Pass",$N$2:$N$127, "20")</f>
        <v>1</v>
      </c>
      <c r="M148" s="44">
        <f>COUNTIFS($C$2:$C$127, "Unox S.p.A.", $U$2:$U$127, "Pass",$N$2:$N$127, "22")</f>
        <v>0</v>
      </c>
      <c r="N148" s="44">
        <f>COUNTIFS($C$2:$C$127, "Unox S.p.A.", $U$2:$U$127, "Pass",$N$2:$N$127, "24")</f>
        <v>0</v>
      </c>
      <c r="O148" s="44">
        <f>COUNTIFS($C$2:$C$127, "Unox S.p.A.", $U$2:$U$127, "Pass",$N$2:$N$127, "32")</f>
        <v>2</v>
      </c>
      <c r="P148" s="44">
        <f>COUNTIFS($C$2:$C$127, "Unox S.p.A.", $U$2:$U$127, "Pass",$N$2:$N$127, "40")</f>
        <v>0</v>
      </c>
      <c r="Q148" s="48">
        <f t="shared" si="35"/>
        <v>7</v>
      </c>
      <c r="U148" s="30"/>
      <c r="V148" s="44"/>
      <c r="W148" s="34"/>
      <c r="X148" s="34"/>
      <c r="Y148" s="34"/>
      <c r="Z148" s="34"/>
    </row>
    <row r="149" spans="1:26" x14ac:dyDescent="0.35">
      <c r="A149" s="30">
        <v>10</v>
      </c>
      <c r="B149" s="49" t="s">
        <v>252</v>
      </c>
      <c r="C149" s="44">
        <f>COUNTIFS($C$2:$C$127, "Hobart", $U$2:$U$127, "Pass",$N$2:$N$127, "3")</f>
        <v>0</v>
      </c>
      <c r="D149" s="44">
        <f>COUNTIFS($C$2:$C$127, "Hobart", $U$2:$U$127, "Pass",$N$2:$N$127, "4")</f>
        <v>0</v>
      </c>
      <c r="E149" s="44">
        <f>COUNTIFS($C$2:$C$127, "Hobart", $U$2:$U$127, "Pass",$N$2:$N$127, "5")</f>
        <v>0</v>
      </c>
      <c r="F149" s="44">
        <f>COUNTIFS($C$2:$C$127, "Hobart", $U$2:$U$127, "Pass",$N$2:$N$127, "6")</f>
        <v>0</v>
      </c>
      <c r="G149" s="44">
        <f>COUNTIFS($C$2:$C$127, "Hobart", $U$2:$U$127, "Pass",$N$2:$N$127, "7")</f>
        <v>0</v>
      </c>
      <c r="H149" s="44">
        <f>COUNTIFS($C$2:$C$127, "Hobart", $U$2:$U$127, "Pass",$N$2:$N$127, "10")</f>
        <v>0</v>
      </c>
      <c r="I149" s="44">
        <f>COUNTIFS($C$2:$C$127, "Hobart", $U$2:$U$127, "Pass",$N$2:$N$127, "12")</f>
        <v>0</v>
      </c>
      <c r="J149" s="44">
        <f>COUNTIFS($C$2:$C$127, "Hobart", $U$2:$U$127, "Pass",$N$2:$N$127, "14")</f>
        <v>0</v>
      </c>
      <c r="K149" s="44">
        <f>COUNTIFS($C$2:$C$127, "Hobart", $U$2:$U$127, "Pass",$N$2:$N$127, "16")</f>
        <v>0</v>
      </c>
      <c r="L149" s="44">
        <f>COUNTIFS($C$2:$C$127, "Hobart", $U$2:$U$127, "Pass",$N$2:$N$127, "20")</f>
        <v>0</v>
      </c>
      <c r="M149" s="44">
        <f>COUNTIFS($C$2:$C$127, "Hobart", $U$2:$U$127, "Pass",$N$2:$N$127, "22")</f>
        <v>0</v>
      </c>
      <c r="N149" s="44">
        <f>COUNTIFS($C$2:$C$127, "Hobart", $U$2:$U$127, "Pass",$N$2:$N$127, "24")</f>
        <v>0</v>
      </c>
      <c r="O149" s="44">
        <f>COUNTIFS($C$2:$C$127, "Hobart", $U$2:$U$127, "Pass",$N$2:$N$127, "32")</f>
        <v>0</v>
      </c>
      <c r="P149" s="44">
        <f>COUNTIFS($C$2:$C$127, "Hobart", $U$2:$U$127, "Pass",$N$2:$N$127, "40")</f>
        <v>0</v>
      </c>
      <c r="Q149" s="48">
        <f t="shared" si="35"/>
        <v>0</v>
      </c>
      <c r="U149" s="30"/>
      <c r="V149" s="44"/>
      <c r="W149" s="34"/>
      <c r="X149" s="34"/>
      <c r="Y149" s="34"/>
      <c r="Z149" s="34"/>
    </row>
    <row r="150" spans="1:26" x14ac:dyDescent="0.35">
      <c r="A150" s="30">
        <v>11</v>
      </c>
      <c r="B150" s="49" t="s">
        <v>232</v>
      </c>
      <c r="C150" s="44">
        <f>COUNTIFS($C$2:$C$127, "Eloma", $U$2:$U$127, "Pass",$N$2:$N$127, "3")</f>
        <v>0</v>
      </c>
      <c r="D150" s="44">
        <f>COUNTIFS($C$2:$C$127, "Eloma", $U$2:$U$127, "Pass",$N$2:$N$127, "4")</f>
        <v>0</v>
      </c>
      <c r="E150" s="44">
        <f>COUNTIFS($C$2:$C$127, "Eloma", $U$2:$U$127, "Pass",$N$2:$N$127, "5")</f>
        <v>0</v>
      </c>
      <c r="F150" s="44">
        <f>COUNTIFS($C$2:$C$127, "Eloma", $U$2:$U$127, "Pass",$N$2:$N$127, "6")</f>
        <v>0</v>
      </c>
      <c r="G150" s="44">
        <f>COUNTIFS($C$2:$C$127, "Eloma", $U$2:$U$127, "Pass",$N$2:$N$127, "7")</f>
        <v>0</v>
      </c>
      <c r="H150" s="44">
        <f>COUNTIFS($C$2:$C$127, "Eloma", $U$2:$U$127, "Pass",$N$2:$N$127, "10")</f>
        <v>0</v>
      </c>
      <c r="I150" s="44">
        <f>COUNTIFS($C$2:$C$127, "Eloma", $U$2:$U$127, "Pass",$N$2:$N$127, "12")</f>
        <v>0</v>
      </c>
      <c r="J150" s="44">
        <f>COUNTIFS($C$2:$C$127, "Eloma", $U$2:$U$127, "Pass",$N$2:$N$127, "14")</f>
        <v>0</v>
      </c>
      <c r="K150" s="44">
        <f>COUNTIFS($C$2:$C$127, "Eloma", $U$2:$U$127, "Pass",$N$2:$N$127, "16")</f>
        <v>0</v>
      </c>
      <c r="L150" s="44">
        <f>COUNTIFS($C$2:$C$127, "Eloma", $U$2:$U$127, "Pass",$N$2:$N$127, "20")</f>
        <v>0</v>
      </c>
      <c r="M150" s="44">
        <f>COUNTIFS($C$2:$C$127, "Eloma", $U$2:$U$127, "Pass",$N$2:$N$127, "22")</f>
        <v>0</v>
      </c>
      <c r="N150" s="44">
        <f>COUNTIFS($C$2:$C$127, "Eloma", $U$2:$U$127, "Pass",$N$2:$N$127, "24")</f>
        <v>1</v>
      </c>
      <c r="O150" s="44">
        <f>COUNTIFS($C$2:$C$127, "Eloma", $U$2:$U$127, "Pass",$N$2:$N$127, "32")</f>
        <v>0</v>
      </c>
      <c r="P150" s="44">
        <f>COUNTIFS($C$2:$C$127, "Eloma", $U$2:$U$127, "Pass",$N$2:$N$127, "40")</f>
        <v>0</v>
      </c>
      <c r="Q150" s="48">
        <f t="shared" si="35"/>
        <v>1</v>
      </c>
      <c r="U150" s="30"/>
      <c r="V150" s="44"/>
      <c r="W150" s="34"/>
      <c r="X150" s="34"/>
      <c r="Y150" s="34"/>
      <c r="Z150" s="34"/>
    </row>
    <row r="151" spans="1:26" x14ac:dyDescent="0.35">
      <c r="A151" s="30">
        <v>12</v>
      </c>
      <c r="B151" s="49" t="s">
        <v>152</v>
      </c>
      <c r="C151" s="44">
        <f>COUNTIFS($C$2:$C$127, "BKI", $U$2:$U$127, "Pass",$N$2:$N$127, "3")</f>
        <v>0</v>
      </c>
      <c r="D151" s="44">
        <f>COUNTIFS($C$2:$C$127, "BKI", $U$2:$U$127, "Pass",$N$2:$N$127, "4")</f>
        <v>0</v>
      </c>
      <c r="E151" s="44">
        <f>COUNTIFS($C$2:$C$127, "BKI", $U$2:$U$127, "Pass",$N$2:$N$127, "5")</f>
        <v>0</v>
      </c>
      <c r="F151" s="44">
        <f>COUNTIFS($C$2:$C$127, "BKI", $U$2:$U$127, "Pass",$N$2:$N$127, "6")</f>
        <v>0</v>
      </c>
      <c r="G151" s="44">
        <f>COUNTIFS($C$2:$C$127, "BKI", $U$2:$U$127, "Pass",$N$2:$N$127, "7")</f>
        <v>0</v>
      </c>
      <c r="H151" s="44">
        <f>COUNTIFS($C$2:$C$127, "BKI", $U$2:$U$127, "Pass",$N$2:$N$127, "10")</f>
        <v>0</v>
      </c>
      <c r="I151" s="44">
        <f>COUNTIFS($C$2:$C$127, "BKI", $U$2:$U$127, "Pass",$N$2:$N$127, "12")</f>
        <v>0</v>
      </c>
      <c r="J151" s="44">
        <f>COUNTIFS($C$2:$C$127, "BKI", $U$2:$U$127, "Pass",$N$2:$N$127, "14")</f>
        <v>0</v>
      </c>
      <c r="K151" s="44">
        <f>COUNTIFS($C$2:$C$127, "BKI", $U$2:$U$127, "Pass",$N$2:$N$127, "16")</f>
        <v>0</v>
      </c>
      <c r="L151" s="44">
        <f>COUNTIFS($C$2:$C$127, "BKI", $U$2:$U$127, "Pass",$N$2:$N$127, "20")</f>
        <v>1</v>
      </c>
      <c r="M151" s="44">
        <f>COUNTIFS($C$2:$C$127, "BKI", $U$2:$U$127, "Pass",$N$2:$N$127, "22")</f>
        <v>0</v>
      </c>
      <c r="N151" s="44">
        <f>COUNTIFS($C$2:$C$127, "BKI", $U$2:$U$127, "Pass",$N$2:$N$127, "24")</f>
        <v>0</v>
      </c>
      <c r="O151" s="44">
        <f>COUNTIFS($C$2:$C$127, "BKI", $U$2:$U$127, "Pass",$N$2:$N$127, "32")</f>
        <v>0</v>
      </c>
      <c r="P151" s="44">
        <f>COUNTIFS($C$2:$C$127, "BKI", $U$2:$U$127, "Pass",$N$2:$N$127, "40")</f>
        <v>0</v>
      </c>
      <c r="Q151" s="48">
        <f t="shared" si="35"/>
        <v>1</v>
      </c>
      <c r="U151" s="30"/>
      <c r="V151" s="44"/>
      <c r="W151" s="34"/>
      <c r="X151" s="34"/>
      <c r="Y151" s="34"/>
      <c r="Z151" s="34"/>
    </row>
    <row r="152" spans="1:26" x14ac:dyDescent="0.35">
      <c r="A152" s="30">
        <v>13</v>
      </c>
      <c r="B152" s="49" t="s">
        <v>276</v>
      </c>
      <c r="C152" s="44">
        <f>COUNTIFS($C$2:$C$127, "Piper", $U$2:$U$127, "Pass",$N$2:$N$127, "3")</f>
        <v>0</v>
      </c>
      <c r="D152" s="44">
        <f>COUNTIFS($C$2:$C$127, "Piper", $U$2:$U$127, "Pass",$N$2:$N$127, "4")</f>
        <v>0</v>
      </c>
      <c r="E152" s="44">
        <f>COUNTIFS($C$2:$C$127, "Piper", $U$2:$U$127, "Pass",$N$2:$N$127, "5")</f>
        <v>0</v>
      </c>
      <c r="F152" s="44">
        <f>COUNTIFS($C$2:$C$127, "Piper", $U$2:$U$127, "Pass",$N$2:$N$127, "6")</f>
        <v>0</v>
      </c>
      <c r="G152" s="44">
        <f>COUNTIFS($C$2:$C$127, "Piper", $U$2:$U$127, "Pass",$N$2:$N$127, "7")</f>
        <v>0</v>
      </c>
      <c r="H152" s="44">
        <f>COUNTIFS($C$2:$C$127, "Piper", $U$2:$U$127, "Pass",$N$2:$N$127, "10")</f>
        <v>0</v>
      </c>
      <c r="I152" s="44">
        <f>COUNTIFS($C$2:$C$127, "Piper", $U$2:$U$127, "Pass",$N$2:$N$127, "12")</f>
        <v>0</v>
      </c>
      <c r="J152" s="44">
        <f>COUNTIFS($C$2:$C$127, "Piper", $U$2:$U$127, "Pass",$N$2:$N$127, "14")</f>
        <v>0</v>
      </c>
      <c r="K152" s="44">
        <f>COUNTIFS($C$2:$C$127, "Piper", $U$2:$U$127, "Pass",$N$2:$N$127, "16")</f>
        <v>0</v>
      </c>
      <c r="L152" s="44">
        <f>COUNTIFS($C$2:$C$127, "Piper", $U$2:$U$127, "Pass",$N$2:$N$127, "20")</f>
        <v>0</v>
      </c>
      <c r="M152" s="44">
        <f>COUNTIFS($C$2:$C$127, "Piper", $U$2:$U$127, "Pass",$N$2:$N$127, "22")</f>
        <v>0</v>
      </c>
      <c r="N152" s="44">
        <f>COUNTIFS($C$2:$C$127, "Piper", $U$2:$U$127, "Pass",$N$2:$N$127, "24")</f>
        <v>0</v>
      </c>
      <c r="O152" s="44">
        <f>COUNTIFS($C$2:$C$127, "Piper", $U$2:$U$127, "Pass",$N$2:$N$127, "32")</f>
        <v>0</v>
      </c>
      <c r="P152" s="44">
        <f>COUNTIFS($C$2:$C$127, "Piper", $U$2:$U$127, "Pass",$N$2:$N$127, "40")</f>
        <v>0</v>
      </c>
      <c r="Q152" s="48">
        <f t="shared" si="35"/>
        <v>0</v>
      </c>
      <c r="U152" s="30"/>
      <c r="V152" s="44"/>
      <c r="W152" s="34"/>
      <c r="X152" s="34"/>
      <c r="Y152" s="34"/>
      <c r="Z152" s="34"/>
    </row>
    <row r="153" spans="1:26" x14ac:dyDescent="0.35">
      <c r="A153" s="30">
        <v>14</v>
      </c>
      <c r="B153" s="49" t="s">
        <v>202</v>
      </c>
      <c r="C153" s="44">
        <f>COUNTIFS($C$2:$C$127, "Blodgett", $U$2:$U$127, "Pass",$N$2:$N$127, "3")</f>
        <v>0</v>
      </c>
      <c r="D153" s="44">
        <f>COUNTIFS($C$2:$C$127, "Blodgett", $U$2:$U$127, "Pass",$N$2:$N$127, "4")</f>
        <v>0</v>
      </c>
      <c r="E153" s="44">
        <f>COUNTIFS($C$2:$C$127, "Blodgett", $U$2:$U$127, "Pass",$N$2:$N$127, "5")</f>
        <v>0</v>
      </c>
      <c r="F153" s="44">
        <f>COUNTIFS($C$2:$C$127, "Blodgett", $U$2:$U$127, "Pass",$N$2:$N$127, "6")</f>
        <v>0</v>
      </c>
      <c r="G153" s="44">
        <f>COUNTIFS($C$2:$C$127, "Blodgett", $U$2:$U$127, "Pass",$N$2:$N$127, "7")</f>
        <v>0</v>
      </c>
      <c r="H153" s="44">
        <f>COUNTIFS($C$2:$C$127, "Blodgett", $U$2:$U$127, "Pass",$N$2:$N$127, "10")</f>
        <v>0</v>
      </c>
      <c r="I153" s="44">
        <f>COUNTIFS($C$2:$C$127, "Blodgett", $U$2:$U$127, "Pass",$N$2:$N$127, "12")</f>
        <v>0</v>
      </c>
      <c r="J153" s="44">
        <f>COUNTIFS($C$2:$C$127, "Blodgett", $U$2:$U$127, "Pass",$N$2:$N$127, "14")</f>
        <v>0</v>
      </c>
      <c r="K153" s="44">
        <f>COUNTIFS($C$2:$C$127, "Blodgett", $U$2:$U$127, "Pass",$N$2:$N$127, "16")</f>
        <v>0</v>
      </c>
      <c r="L153" s="44">
        <f>COUNTIFS($C$2:$C$127, "Blodgett", $U$2:$U$127, "Pass",$N$2:$N$127, "20")</f>
        <v>0</v>
      </c>
      <c r="M153" s="44">
        <f>COUNTIFS($C$2:$C$127, "Blodgett", $U$2:$U$127, "Pass",$N$2:$N$127, "22")</f>
        <v>0</v>
      </c>
      <c r="N153" s="44">
        <f>COUNTIFS($C$2:$C$127, "Blodgett", $U$2:$U$127, "Pass",$N$2:$N$127, "24")</f>
        <v>0</v>
      </c>
      <c r="O153" s="44">
        <f>COUNTIFS($C$2:$C$127, "Blodgett", $U$2:$U$127, "Pass",$N$2:$N$127, "32")</f>
        <v>0</v>
      </c>
      <c r="P153" s="44">
        <f>COUNTIFS($C$2:$C$127, "Blodgett", $U$2:$U$127, "Pass",$N$2:$N$127, "40")</f>
        <v>0</v>
      </c>
      <c r="Q153" s="48">
        <f t="shared" si="35"/>
        <v>0</v>
      </c>
      <c r="U153" s="30"/>
      <c r="V153" s="44"/>
      <c r="W153" s="34"/>
      <c r="X153" s="34"/>
      <c r="Y153" s="34"/>
      <c r="Z153" s="34"/>
    </row>
    <row r="154" spans="1:26" x14ac:dyDescent="0.35">
      <c r="A154" s="30">
        <v>15</v>
      </c>
      <c r="B154" s="49" t="s">
        <v>310</v>
      </c>
      <c r="C154" s="44">
        <f>COUNTIFS($C$2:$C$127, "Moffat", $U$2:$U$127, "Pass",$N$2:$N$127, "3")</f>
        <v>0</v>
      </c>
      <c r="D154" s="44">
        <f>COUNTIFS($C$2:$C$127, "Moffat", $U$2:$U$127, "Pass",$N$2:$N$127, "4")</f>
        <v>0</v>
      </c>
      <c r="E154" s="44">
        <f>COUNTIFS($C$2:$C$127, "Moffat", $U$2:$U$127, "Pass",$N$2:$N$127, "5")</f>
        <v>0</v>
      </c>
      <c r="F154" s="44">
        <f>COUNTIFS($C$2:$C$127, "Moffat", $U$2:$U$127, "Pass",$N$2:$N$127, "6")</f>
        <v>0</v>
      </c>
      <c r="G154" s="44">
        <f>COUNTIFS($C$2:$C$127, "Moffat", $U$2:$U$127, "Pass",$N$2:$N$127, "7")</f>
        <v>0</v>
      </c>
      <c r="H154" s="44">
        <f>COUNTIFS($C$2:$C$127, "Moffat", $U$2:$U$127, "Pass",$N$2:$N$127, "10")</f>
        <v>0</v>
      </c>
      <c r="I154" s="44">
        <f>COUNTIFS($C$2:$C$127, "Moffat", $U$2:$U$127, "Pass",$N$2:$N$127, "12")</f>
        <v>0</v>
      </c>
      <c r="J154" s="44">
        <f>COUNTIFS($C$2:$C$127, "Moffat", $U$2:$U$127, "Pass",$N$2:$N$127, "14")</f>
        <v>0</v>
      </c>
      <c r="K154" s="44">
        <f>COUNTIFS($C$2:$C$127, "Moffat", $U$2:$U$127, "Pass",$N$2:$N$127, "16")</f>
        <v>0</v>
      </c>
      <c r="L154" s="44">
        <f>COUNTIFS($C$2:$C$127, "Moffat", $U$2:$U$127, "Pass",$N$2:$N$127, "20")</f>
        <v>0</v>
      </c>
      <c r="M154" s="44">
        <f>COUNTIFS($C$2:$C$127, "Moffat", $U$2:$U$127, "Pass",$N$2:$N$127, "22")</f>
        <v>0</v>
      </c>
      <c r="N154" s="44">
        <f>COUNTIFS($C$2:$C$127, "Moffat", $U$2:$U$127, "Pass",$N$2:$N$127, "24")</f>
        <v>0</v>
      </c>
      <c r="O154" s="44">
        <f>COUNTIFS($C$2:$C$127, "Moffat", $U$2:$U$127, "Pass",$N$2:$N$127, "32")</f>
        <v>0</v>
      </c>
      <c r="P154" s="44">
        <f>COUNTIFS($C$2:$C$127, "Moffat", $U$2:$U$127, "Pass",$N$2:$N$127, "40")</f>
        <v>0</v>
      </c>
      <c r="Q154" s="48">
        <f t="shared" si="35"/>
        <v>0</v>
      </c>
      <c r="U154" s="30"/>
      <c r="V154" s="44"/>
      <c r="W154" s="34"/>
      <c r="X154" s="34"/>
      <c r="Y154" s="34"/>
      <c r="Z154" s="34"/>
    </row>
    <row r="155" spans="1:26" x14ac:dyDescent="0.35">
      <c r="A155" s="30">
        <v>16</v>
      </c>
      <c r="B155" s="49" t="s">
        <v>297</v>
      </c>
      <c r="C155" s="44">
        <f>COUNTIFS($C$2:$C$127, "Retigo s.r.o.", $U$2:$U$127, "Pass",$N$2:$N$127, "3")</f>
        <v>0</v>
      </c>
      <c r="D155" s="44">
        <f>COUNTIFS($C$2:$C$127, "Retigo s.r.o.", $U$2:$U$127, "Pass",$N$2:$N$127, "4")</f>
        <v>0</v>
      </c>
      <c r="E155" s="44">
        <f>COUNTIFS($C$2:$C$127, "Retigo s.r.o.", $U$2:$U$127, "Pass",$N$2:$N$127, "5")</f>
        <v>0</v>
      </c>
      <c r="F155" s="44">
        <f>COUNTIFS($C$2:$C$127, "Retigo s.r.o.", $U$2:$U$127, "Pass",$N$2:$N$127, "6")</f>
        <v>0</v>
      </c>
      <c r="G155" s="44">
        <f>COUNTIFS($C$2:$C$127, "Retigo s.r.o.", $U$2:$U$127, "Pass",$N$2:$N$127, "7")</f>
        <v>0</v>
      </c>
      <c r="H155" s="44">
        <f>COUNTIFS($C$2:$C$127, "Retigo s.r.o.", $U$2:$U$127, "Pass",$N$2:$N$127, "10")</f>
        <v>1</v>
      </c>
      <c r="I155" s="44">
        <f>COUNTIFS($C$2:$C$127, "Retigo s.r.o.", $U$2:$U$127, "Pass",$N$2:$N$127, "12")</f>
        <v>0</v>
      </c>
      <c r="J155" s="44">
        <f>COUNTIFS($C$2:$C$127, "Retigo s.r.o.", $U$2:$U$127, "Pass",$N$2:$N$127, "14")</f>
        <v>0</v>
      </c>
      <c r="K155" s="44">
        <f>COUNTIFS($C$2:$C$127, "Retigo s.r.o.", $U$2:$U$127, "Pass",$N$2:$N$127, "16")</f>
        <v>0</v>
      </c>
      <c r="L155" s="44">
        <f>COUNTIFS($C$2:$C$127, "Retigo s.r.o.", $U$2:$U$127, "Pass",$N$2:$N$127, "20")</f>
        <v>0</v>
      </c>
      <c r="M155" s="44">
        <f>COUNTIFS($C$2:$C$127, "Retigo s.r.o.", $U$2:$U$127, "Pass",$N$2:$N$127, "22")</f>
        <v>0</v>
      </c>
      <c r="N155" s="44">
        <f>COUNTIFS($C$2:$C$127, "Retigo s.r.o.", $U$2:$U$127, "Pass",$N$2:$N$127, "24")</f>
        <v>0</v>
      </c>
      <c r="O155" s="44">
        <f>COUNTIFS($C$2:$C$127, "Retigo s.r.o.", $U$2:$U$127, "Pass",$N$2:$N$127, "32")</f>
        <v>0</v>
      </c>
      <c r="P155" s="44">
        <f>COUNTIFS($C$2:$C$127, "Retigo s.r.o.", $U$2:$U$127, "Pass",$N$2:$N$127, "40")</f>
        <v>0</v>
      </c>
      <c r="Q155" s="48">
        <f t="shared" si="35"/>
        <v>1</v>
      </c>
      <c r="U155" s="30"/>
      <c r="V155" s="44"/>
      <c r="W155" s="34"/>
      <c r="X155" s="34"/>
      <c r="Y155" s="34"/>
      <c r="Z155" s="34"/>
    </row>
    <row r="156" spans="1:26" x14ac:dyDescent="0.35">
      <c r="A156" s="30">
        <v>17</v>
      </c>
      <c r="B156" s="49" t="s">
        <v>396</v>
      </c>
      <c r="C156" s="44">
        <f>COUNTIFS($C$2:$C$127, "Pratica", $U$2:$U$127, "Pass",$N$2:$N$127, "3")</f>
        <v>0</v>
      </c>
      <c r="D156" s="44">
        <f>COUNTIFS($C$2:$C$127, "Pratica", $U$2:$U$127, "Pass",$N$2:$N$127, "4")</f>
        <v>0</v>
      </c>
      <c r="E156" s="44">
        <f>COUNTIFS($C$2:$C$127, "Pratica", $U$2:$U$127, "Pass",$N$2:$N$127, "5")</f>
        <v>0</v>
      </c>
      <c r="F156" s="44">
        <f>COUNTIFS($C$2:$C$127, "Pratica", $U$2:$U$127, "Pass",$N$2:$N$127, "6")</f>
        <v>0</v>
      </c>
      <c r="G156" s="44">
        <f>COUNTIFS($C$2:$C$127, "Pratica", $U$2:$U$127, "Pass",$N$2:$N$127, "7")</f>
        <v>0</v>
      </c>
      <c r="H156" s="44">
        <f>COUNTIFS($C$2:$C$127, "Pratica", $U$2:$U$127, "Pass",$N$2:$N$127, "10")</f>
        <v>0</v>
      </c>
      <c r="I156" s="44">
        <f>COUNTIFS($C$2:$C$127, "Pratica", $U$2:$U$127, "Pass",$N$2:$N$127, "12")</f>
        <v>0</v>
      </c>
      <c r="J156" s="44">
        <f>COUNTIFS($C$2:$C$127, "Pratica", $U$2:$U$127, "Pass",$N$2:$N$127, "14")</f>
        <v>0</v>
      </c>
      <c r="K156" s="44">
        <f>COUNTIFS($C$2:$C$127, "Pratica", $U$2:$U$127, "Pass",$N$2:$N$127, "16")</f>
        <v>0</v>
      </c>
      <c r="L156" s="44">
        <f>COUNTIFS($C$2:$C$127, "Pratica", $U$2:$U$127, "Pass",$N$2:$N$127, "20")</f>
        <v>0</v>
      </c>
      <c r="M156" s="44">
        <f>COUNTIFS($C$2:$C$127, "Pratica", $U$2:$U$127, "Pass",$N$2:$N$127, "22")</f>
        <v>0</v>
      </c>
      <c r="N156" s="44">
        <f>COUNTIFS($C$2:$C$127, "Pratica", $U$2:$U$127, "Pass",$N$2:$N$127, "24")</f>
        <v>0</v>
      </c>
      <c r="O156" s="44">
        <f>COUNTIFS($C$2:$C$127, "Pratica", $U$2:$U$127, "Pass",$N$2:$N$127, "32")</f>
        <v>0</v>
      </c>
      <c r="P156" s="44">
        <f>COUNTIFS($C$2:$C$127, "Pratica", $U$2:$U$127, "Pass",$N$2:$N$127, "40")</f>
        <v>0</v>
      </c>
      <c r="Q156" s="48">
        <f t="shared" si="35"/>
        <v>0</v>
      </c>
      <c r="U156" s="30"/>
      <c r="V156" s="44"/>
      <c r="W156" s="34"/>
      <c r="X156" s="34"/>
      <c r="Y156" s="34"/>
      <c r="Z156" s="34"/>
    </row>
    <row r="157" spans="1:26" x14ac:dyDescent="0.35">
      <c r="A157" s="30">
        <v>18</v>
      </c>
      <c r="B157" s="49" t="s">
        <v>237</v>
      </c>
      <c r="C157" s="44">
        <f>COUNTIFS($C$2:$C$127, "Giorik", $U$2:$U$127, "Pass",$N$2:$N$127, "3")</f>
        <v>0</v>
      </c>
      <c r="D157" s="44">
        <f>COUNTIFS($C$2:$C$127, "Giorik", $U$2:$U$127, "Pass",$N$2:$N$127, "4")</f>
        <v>0</v>
      </c>
      <c r="E157" s="44">
        <f>COUNTIFS($C$2:$C$127, "Giorik", $U$2:$U$127, "Pass",$N$2:$N$127, "5")</f>
        <v>0</v>
      </c>
      <c r="F157" s="44">
        <f>COUNTIFS($C$2:$C$127, "Giorik", $U$2:$U$127, "Pass",$N$2:$N$127, "6")</f>
        <v>0</v>
      </c>
      <c r="G157" s="44">
        <f>COUNTIFS($C$2:$C$127, "Giorik", $U$2:$U$127, "Pass",$N$2:$N$127, "7")</f>
        <v>0</v>
      </c>
      <c r="H157" s="44">
        <f>COUNTIFS($C$2:$C$127, "Giorik", $U$2:$U$127, "Pass",$N$2:$N$127, "10")</f>
        <v>0</v>
      </c>
      <c r="I157" s="44">
        <f>COUNTIFS($C$2:$C$127, "Giorik", $U$2:$U$127, "Pass",$N$2:$N$127, "12")</f>
        <v>0</v>
      </c>
      <c r="J157" s="44">
        <f>COUNTIFS($C$2:$C$127, "Giorik", $U$2:$U$127, "Pass",$N$2:$N$127, "14")</f>
        <v>0</v>
      </c>
      <c r="K157" s="44">
        <f>COUNTIFS($C$2:$C$127, "Giorik", $U$2:$U$127, "Pass",$N$2:$N$127, "16")</f>
        <v>0</v>
      </c>
      <c r="L157" s="44">
        <f>COUNTIFS($C$2:$C$127, "Giorik", $U$2:$U$127, "Pass",$N$2:$N$127, "20")</f>
        <v>1</v>
      </c>
      <c r="M157" s="44">
        <f>COUNTIFS($C$2:$C$127, "Giorik", $U$2:$U$127, "Pass",$N$2:$N$127, "22")</f>
        <v>0</v>
      </c>
      <c r="N157" s="44">
        <f>COUNTIFS($C$2:$C$127, "Giorik", $U$2:$U$127, "Pass",$N$2:$N$127, "24")</f>
        <v>0</v>
      </c>
      <c r="O157" s="44">
        <f>COUNTIFS($C$2:$C$127, "Giorik", $U$2:$U$127, "Pass",$N$2:$N$127, "32")</f>
        <v>0</v>
      </c>
      <c r="P157" s="44">
        <f>COUNTIFS($C$2:$C$127, "Giorik", $U$2:$U$127, "Pass",$N$2:$N$127, "40")</f>
        <v>0</v>
      </c>
      <c r="Q157" s="48">
        <f t="shared" si="35"/>
        <v>1</v>
      </c>
      <c r="U157" s="30"/>
      <c r="V157" s="44"/>
      <c r="W157" s="34"/>
      <c r="X157" s="34"/>
      <c r="Y157" s="34"/>
      <c r="Z157" s="34"/>
    </row>
    <row r="158" spans="1:26" x14ac:dyDescent="0.35">
      <c r="A158" s="30">
        <v>19</v>
      </c>
      <c r="B158" s="49" t="s">
        <v>357</v>
      </c>
      <c r="C158" s="44">
        <f>COUNTIFS($C$2:$C$127, "", $U$2:$U$127, "Pass",$N$2:$N$127, "3")</f>
        <v>0</v>
      </c>
      <c r="D158" s="44">
        <f>COUNTIFS($C$2:$C$127, "", $U$2:$U$127, "Pass",$N$2:$N$127, "4")</f>
        <v>0</v>
      </c>
      <c r="E158" s="44">
        <f>COUNTIFS($C$2:$C$127, "", $U$2:$U$127, "Pass",$N$2:$N$127, "5")</f>
        <v>0</v>
      </c>
      <c r="F158" s="44">
        <f>COUNTIFS($C$2:$C$127, "", $U$2:$U$127, "Pass",$N$2:$N$127, "6")</f>
        <v>0</v>
      </c>
      <c r="G158" s="44">
        <f>COUNTIFS($C$2:$C$127, "", $U$2:$U$127, "Pass",$N$2:$N$127, "7")</f>
        <v>0</v>
      </c>
      <c r="H158" s="44">
        <f>COUNTIFS($C$2:$C$127, "", $U$2:$U$127, "Pass",$N$2:$N$127, "10")</f>
        <v>0</v>
      </c>
      <c r="I158" s="44">
        <f>COUNTIFS($C$2:$C$127, "", $U$2:$U$127, "Pass",$N$2:$N$127, "12")</f>
        <v>0</v>
      </c>
      <c r="J158" s="44">
        <f>COUNTIFS($C$2:$C$127, "", $U$2:$U$127, "Pass",$N$2:$N$127, "14")</f>
        <v>0</v>
      </c>
      <c r="K158" s="44">
        <f>COUNTIFS($C$2:$C$127, "", $U$2:$U$127, "Pass",$N$2:$N$127, "16")</f>
        <v>0</v>
      </c>
      <c r="L158" s="44">
        <f>COUNTIFS($C$2:$C$127, "", $U$2:$U$127, "Pass",$N$2:$N$127, "20")</f>
        <v>2</v>
      </c>
      <c r="M158" s="44">
        <f>COUNTIFS($C$2:$C$127, "", $U$2:$U$127, "Pass",$N$2:$N$127, "22")</f>
        <v>0</v>
      </c>
      <c r="N158" s="44">
        <f>COUNTIFS($C$2:$C$127, "", $U$2:$U$127, "Pass",$N$2:$N$127, "24")</f>
        <v>0</v>
      </c>
      <c r="O158" s="44">
        <f>COUNTIFS($C$2:$C$127, "", $U$2:$U$127, "Pass",$N$2:$N$127, "32")</f>
        <v>0</v>
      </c>
      <c r="P158" s="94">
        <f>COUNTIFS($C$2:$C$127, "", $U$2:$U$127, "Pass",$N$2:$N$127, "40")</f>
        <v>0</v>
      </c>
      <c r="Q158" s="48">
        <f t="shared" si="35"/>
        <v>2</v>
      </c>
      <c r="U158" s="30"/>
      <c r="V158" s="44"/>
      <c r="W158" s="34"/>
      <c r="X158" s="34"/>
      <c r="Y158" s="34"/>
      <c r="Z158" s="34"/>
    </row>
    <row r="159" spans="1:26" ht="30.65" customHeight="1" x14ac:dyDescent="0.35">
      <c r="B159" s="95" t="s">
        <v>358</v>
      </c>
      <c r="C159" s="42">
        <f>COUNTIF($N2:$N127, "3")</f>
        <v>3</v>
      </c>
      <c r="D159" s="42">
        <f>COUNTIF($N2:$N127, "4")</f>
        <v>4</v>
      </c>
      <c r="E159" s="42">
        <f>COUNTIF($N2:$N127, "5")</f>
        <v>12</v>
      </c>
      <c r="F159" s="42">
        <f>COUNTIF($N2:$N127, "6")</f>
        <v>20</v>
      </c>
      <c r="G159" s="42">
        <f>COUNTIF($N2:$N127, "7")</f>
        <v>3</v>
      </c>
      <c r="H159" s="42">
        <f>COUNTIF($N2:$N127, "10")</f>
        <v>17</v>
      </c>
      <c r="I159" s="42">
        <f>COUNTIF($N2:$N127, "12")</f>
        <v>10</v>
      </c>
      <c r="J159" s="42">
        <f>COUNTIF($N2:$N127, "14")</f>
        <v>13</v>
      </c>
      <c r="K159" s="42">
        <f>COUNTIF($N2:$N127, "16")</f>
        <v>2</v>
      </c>
      <c r="L159" s="42">
        <f>COUNTIF($N2:$N127, "20")</f>
        <v>27</v>
      </c>
      <c r="M159" s="42">
        <f>COUNTIF($N2:$N127, "22")</f>
        <v>2</v>
      </c>
      <c r="N159" s="42">
        <f>COUNTIF($N2:$N127, "24")</f>
        <v>2</v>
      </c>
      <c r="O159" s="42">
        <f>COUNTIF($N2:$N127, "32")</f>
        <v>2</v>
      </c>
      <c r="P159" s="42">
        <f>COUNTIF($N2:$N127, "40")</f>
        <v>3</v>
      </c>
      <c r="Q159" s="48">
        <f>COUNTIF(Q140:Q158, "&gt;=1")</f>
        <v>13</v>
      </c>
      <c r="U159" s="30"/>
      <c r="V159" s="44"/>
      <c r="W159" s="34"/>
      <c r="X159" s="34"/>
      <c r="Y159" s="34"/>
      <c r="Z159" s="34"/>
    </row>
    <row r="160" spans="1:26" ht="29" x14ac:dyDescent="0.35">
      <c r="B160" s="53" t="s">
        <v>359</v>
      </c>
      <c r="C160" s="28">
        <f>SUM(C140:C158)</f>
        <v>0</v>
      </c>
      <c r="D160" s="28">
        <f>SUM(D140:D158)</f>
        <v>1</v>
      </c>
      <c r="E160" s="28">
        <f t="shared" ref="E160:P160" si="36">SUM(E140:E158)</f>
        <v>2</v>
      </c>
      <c r="F160" s="28">
        <f t="shared" si="36"/>
        <v>2</v>
      </c>
      <c r="G160" s="28">
        <f t="shared" si="36"/>
        <v>0</v>
      </c>
      <c r="H160" s="28">
        <f t="shared" si="36"/>
        <v>3</v>
      </c>
      <c r="I160" s="28">
        <f t="shared" si="36"/>
        <v>7</v>
      </c>
      <c r="J160" s="28">
        <f t="shared" si="36"/>
        <v>4</v>
      </c>
      <c r="K160" s="28">
        <f t="shared" si="36"/>
        <v>0</v>
      </c>
      <c r="L160" s="28">
        <f t="shared" si="36"/>
        <v>19</v>
      </c>
      <c r="M160" s="28">
        <f t="shared" si="36"/>
        <v>2</v>
      </c>
      <c r="N160" s="28">
        <f t="shared" si="36"/>
        <v>2</v>
      </c>
      <c r="O160" s="28">
        <f t="shared" si="36"/>
        <v>2</v>
      </c>
      <c r="P160" s="28">
        <f t="shared" si="36"/>
        <v>2</v>
      </c>
      <c r="Q160" s="30"/>
      <c r="U160" s="30"/>
      <c r="V160" s="44"/>
      <c r="W160" s="34"/>
      <c r="X160" s="34"/>
      <c r="Y160" s="34"/>
      <c r="Z160" s="34"/>
    </row>
    <row r="161" spans="2:28" ht="29" x14ac:dyDescent="0.35">
      <c r="B161" s="53" t="s">
        <v>360</v>
      </c>
      <c r="C161" s="51">
        <f>IFERROR(C160/C159, " ")</f>
        <v>0</v>
      </c>
      <c r="D161" s="51">
        <f>IFERROR(D160/D159, " ")</f>
        <v>0.25</v>
      </c>
      <c r="E161" s="51">
        <f t="shared" ref="E161:O161" si="37">IFERROR(E160/E159, " ")</f>
        <v>0.16666666666666666</v>
      </c>
      <c r="F161" s="51">
        <f t="shared" si="37"/>
        <v>0.1</v>
      </c>
      <c r="G161" s="51">
        <f t="shared" si="37"/>
        <v>0</v>
      </c>
      <c r="H161" s="51">
        <f t="shared" si="37"/>
        <v>0.17647058823529413</v>
      </c>
      <c r="I161" s="51">
        <f t="shared" si="37"/>
        <v>0.7</v>
      </c>
      <c r="J161" s="51">
        <f t="shared" si="37"/>
        <v>0.30769230769230771</v>
      </c>
      <c r="K161" s="51">
        <f t="shared" si="37"/>
        <v>0</v>
      </c>
      <c r="L161" s="51">
        <f t="shared" si="37"/>
        <v>0.70370370370370372</v>
      </c>
      <c r="M161" s="51">
        <f t="shared" si="37"/>
        <v>1</v>
      </c>
      <c r="N161" s="51">
        <f t="shared" si="37"/>
        <v>1</v>
      </c>
      <c r="O161" s="51">
        <f t="shared" si="37"/>
        <v>1</v>
      </c>
      <c r="P161" s="51">
        <f>IFERROR(P160/P159, " ")</f>
        <v>0.66666666666666663</v>
      </c>
      <c r="Q161" s="30"/>
      <c r="T161" s="44"/>
      <c r="V161" s="30"/>
      <c r="W161" s="30"/>
      <c r="X161" s="30"/>
      <c r="Y161" s="30"/>
    </row>
    <row r="162" spans="2:28" ht="64.5" customHeight="1" x14ac:dyDescent="0.35">
      <c r="B162" s="53" t="s">
        <v>361</v>
      </c>
      <c r="C162" s="28">
        <f>COUNTIF(C140:C158,"&gt;=1")</f>
        <v>0</v>
      </c>
      <c r="D162" s="28">
        <f t="shared" ref="D162:P162" si="38">COUNTIF(D140:D158,"&gt;=1")</f>
        <v>1</v>
      </c>
      <c r="E162" s="28">
        <f t="shared" si="38"/>
        <v>1</v>
      </c>
      <c r="F162" s="28">
        <f t="shared" si="38"/>
        <v>1</v>
      </c>
      <c r="G162" s="28">
        <f t="shared" si="38"/>
        <v>0</v>
      </c>
      <c r="H162" s="28">
        <f t="shared" si="38"/>
        <v>3</v>
      </c>
      <c r="I162" s="28">
        <f t="shared" si="38"/>
        <v>4</v>
      </c>
      <c r="J162" s="28">
        <f t="shared" si="38"/>
        <v>3</v>
      </c>
      <c r="K162" s="28">
        <f t="shared" si="38"/>
        <v>0</v>
      </c>
      <c r="L162" s="28">
        <f t="shared" si="38"/>
        <v>8</v>
      </c>
      <c r="M162" s="28">
        <f t="shared" si="38"/>
        <v>1</v>
      </c>
      <c r="N162" s="28">
        <f t="shared" si="38"/>
        <v>2</v>
      </c>
      <c r="O162" s="28">
        <f t="shared" si="38"/>
        <v>1</v>
      </c>
      <c r="P162" s="28">
        <f t="shared" si="38"/>
        <v>2</v>
      </c>
      <c r="Q162" s="30"/>
      <c r="U162" s="30"/>
      <c r="V162" s="44"/>
      <c r="W162" s="34"/>
      <c r="X162" s="34"/>
      <c r="Y162" s="34"/>
      <c r="Z162" s="34"/>
    </row>
    <row r="163" spans="2:28" ht="43.5" x14ac:dyDescent="0.35">
      <c r="B163" s="53" t="s">
        <v>362</v>
      </c>
      <c r="C163" s="51">
        <f>Q159/18</f>
        <v>0.72222222222222221</v>
      </c>
      <c r="D163" s="30" t="s">
        <v>363</v>
      </c>
      <c r="Q163" s="30"/>
    </row>
    <row r="164" spans="2:28" ht="29" x14ac:dyDescent="0.35">
      <c r="B164" s="53" t="s">
        <v>364</v>
      </c>
      <c r="C164" s="96">
        <f>AVERAGE(C161:P161)</f>
        <v>0.43365713806890277</v>
      </c>
      <c r="Q164" s="30"/>
    </row>
    <row r="165" spans="2:28" x14ac:dyDescent="0.35">
      <c r="B165" s="97">
        <f>SUM(C140:P158)</f>
        <v>46</v>
      </c>
      <c r="C165" s="30" t="s">
        <v>365</v>
      </c>
      <c r="Q165" s="30"/>
    </row>
    <row r="166" spans="2:28" x14ac:dyDescent="0.35">
      <c r="Q166" s="30"/>
    </row>
    <row r="167" spans="2:28" x14ac:dyDescent="0.35">
      <c r="Q167" s="30"/>
    </row>
    <row r="168" spans="2:28" x14ac:dyDescent="0.35">
      <c r="H168" s="30">
        <f>COUNTIFS(H2:H125, "=Full-size",N2:N125, "=20")</f>
        <v>16</v>
      </c>
      <c r="I168" s="30">
        <f>COUNTIFS(H2:H125, "=Half-size",N2:N125, "=20")</f>
        <v>7</v>
      </c>
      <c r="N168" s="59">
        <f>MODE(N2:N125)</f>
        <v>20</v>
      </c>
      <c r="Q168" s="30"/>
    </row>
    <row r="169" spans="2:28" x14ac:dyDescent="0.35">
      <c r="B169" s="30" t="s">
        <v>366</v>
      </c>
      <c r="J169" s="38">
        <f t="shared" ref="J169:R169" si="39">AVERAGEIF($U2:$U125, "=Fail", J2:J125)</f>
        <v>2.6836363636363627</v>
      </c>
      <c r="K169" s="38">
        <f t="shared" si="39"/>
        <v>1.3110389610389608</v>
      </c>
      <c r="L169" s="38">
        <f t="shared" si="39"/>
        <v>58.111948051948048</v>
      </c>
      <c r="M169" s="38">
        <f t="shared" si="39"/>
        <v>76.144342105263149</v>
      </c>
      <c r="N169" s="55">
        <f t="shared" si="39"/>
        <v>10.181818181818182</v>
      </c>
      <c r="O169" s="38">
        <f t="shared" si="39"/>
        <v>156.94796874999994</v>
      </c>
      <c r="P169" s="38">
        <f t="shared" si="39"/>
        <v>105.09815873015872</v>
      </c>
      <c r="Q169" s="38">
        <f t="shared" si="39"/>
        <v>1.9941818181818187</v>
      </c>
      <c r="R169" s="38">
        <f t="shared" si="39"/>
        <v>1.1991233766233766</v>
      </c>
      <c r="S169" s="38"/>
      <c r="T169" s="38"/>
      <c r="U169" s="38"/>
      <c r="V169" s="38"/>
      <c r="W169" s="38"/>
      <c r="X169" s="38"/>
      <c r="Y169" s="38"/>
      <c r="Z169" s="38">
        <f>AVERAGEIF($U2:$U125, "=Fail", Z2:Z125)</f>
        <v>1.0430322580645159</v>
      </c>
      <c r="AA169" s="38">
        <f>AVERAGEIF($U2:$U125, "=Fail", AA2:AA125)</f>
        <v>1.3360000000000001</v>
      </c>
      <c r="AB169" s="38">
        <f>AVERAGEIF($U2:$U125, "=Fail", AB2:AB125)</f>
        <v>2.1266666666666665</v>
      </c>
    </row>
    <row r="170" spans="2:28" x14ac:dyDescent="0.35">
      <c r="B170" s="30" t="s">
        <v>367</v>
      </c>
      <c r="J170" s="38">
        <f t="shared" ref="J170:R170" si="40">AVERAGEIF($U2:$U125, "=Pass", J2:J125)</f>
        <v>2.0376086956521737</v>
      </c>
      <c r="K170" s="38">
        <f t="shared" si="40"/>
        <v>1.566086956521739</v>
      </c>
      <c r="L170" s="38">
        <f t="shared" si="40"/>
        <v>65.502391304347825</v>
      </c>
      <c r="M170" s="38">
        <f t="shared" si="40"/>
        <v>80.608695652173907</v>
      </c>
      <c r="N170" s="55">
        <f t="shared" si="40"/>
        <v>17.652173913043477</v>
      </c>
      <c r="O170" s="38">
        <f t="shared" si="40"/>
        <v>249.46613636363634</v>
      </c>
      <c r="P170" s="38">
        <f t="shared" si="40"/>
        <v>175.1370454545455</v>
      </c>
      <c r="Q170" s="38">
        <f t="shared" si="40"/>
        <v>2.9877391304347829</v>
      </c>
      <c r="R170" s="38">
        <f t="shared" si="40"/>
        <v>1.8263043478260867</v>
      </c>
      <c r="S170" s="38"/>
      <c r="T170" s="38"/>
      <c r="U170" s="38"/>
      <c r="V170" s="38"/>
      <c r="W170" s="38"/>
      <c r="X170" s="38"/>
      <c r="Y170" s="38"/>
      <c r="Z170" s="38">
        <f>AVERAGEIF($U2:$U125, "=Pass", Z2:Z125)</f>
        <v>1.3863636363636362</v>
      </c>
      <c r="AA170" s="38">
        <f>AVERAGEIF($U2:$U125, "=Pass", AA2:AA125)</f>
        <v>1.4366666666666668</v>
      </c>
      <c r="AB170" s="38">
        <f>AVERAGEIF($U2:$U125, "=Pass", AB2:AB125)</f>
        <v>1.8766666666666667</v>
      </c>
    </row>
    <row r="171" spans="2:28" x14ac:dyDescent="0.35">
      <c r="Q171" s="30"/>
    </row>
    <row r="172" spans="2:28" x14ac:dyDescent="0.35">
      <c r="Q172" s="30"/>
    </row>
    <row r="173" spans="2:28" x14ac:dyDescent="0.35">
      <c r="Q173" s="30"/>
      <c r="Z173" s="38"/>
    </row>
    <row r="174" spans="2:28" x14ac:dyDescent="0.35">
      <c r="Q174" s="30"/>
      <c r="Z174" s="38"/>
    </row>
    <row r="175" spans="2:28" x14ac:dyDescent="0.35">
      <c r="Q175" s="30"/>
    </row>
    <row r="176" spans="2:28" x14ac:dyDescent="0.35">
      <c r="Q176" s="30"/>
    </row>
    <row r="177" spans="14:17" x14ac:dyDescent="0.35">
      <c r="Q177" s="30"/>
    </row>
    <row r="178" spans="14:17" x14ac:dyDescent="0.35">
      <c r="Q178" s="30"/>
    </row>
    <row r="179" spans="14:17" x14ac:dyDescent="0.35">
      <c r="Q179" s="30"/>
    </row>
    <row r="180" spans="14:17" x14ac:dyDescent="0.35">
      <c r="Q180" s="30"/>
    </row>
    <row r="181" spans="14:17" x14ac:dyDescent="0.35">
      <c r="Q181" s="30"/>
    </row>
    <row r="182" spans="14:17" x14ac:dyDescent="0.35">
      <c r="Q182" s="30"/>
    </row>
    <row r="183" spans="14:17" x14ac:dyDescent="0.35">
      <c r="Q183" s="30"/>
    </row>
    <row r="184" spans="14:17" x14ac:dyDescent="0.35">
      <c r="N184" s="90"/>
      <c r="Q184" s="30"/>
    </row>
    <row r="185" spans="14:17" x14ac:dyDescent="0.35">
      <c r="N185" s="90"/>
      <c r="Q185" s="30"/>
    </row>
    <row r="186" spans="14:17" x14ac:dyDescent="0.35">
      <c r="N186" s="90"/>
      <c r="Q186" s="30"/>
    </row>
    <row r="187" spans="14:17" x14ac:dyDescent="0.35">
      <c r="N187" s="90"/>
      <c r="Q187" s="30"/>
    </row>
    <row r="188" spans="14:17" x14ac:dyDescent="0.35">
      <c r="N188" s="90"/>
      <c r="Q188" s="30"/>
    </row>
    <row r="189" spans="14:17" x14ac:dyDescent="0.35">
      <c r="N189" s="90"/>
      <c r="Q189" s="30"/>
    </row>
    <row r="190" spans="14:17" x14ac:dyDescent="0.35">
      <c r="N190" s="90"/>
      <c r="Q190" s="30"/>
    </row>
    <row r="191" spans="14:17" x14ac:dyDescent="0.35">
      <c r="N191" s="90"/>
      <c r="Q191" s="30"/>
    </row>
    <row r="192" spans="14:17" x14ac:dyDescent="0.35">
      <c r="N192" s="90"/>
      <c r="Q192" s="30"/>
    </row>
    <row r="193" spans="14:17" x14ac:dyDescent="0.35">
      <c r="N193" s="90"/>
      <c r="Q193" s="30"/>
    </row>
    <row r="194" spans="14:17" x14ac:dyDescent="0.35">
      <c r="N194" s="90"/>
      <c r="Q194" s="30"/>
    </row>
    <row r="195" spans="14:17" x14ac:dyDescent="0.35">
      <c r="N195" s="90"/>
      <c r="Q195" s="30"/>
    </row>
    <row r="196" spans="14:17" x14ac:dyDescent="0.35">
      <c r="N196" s="90"/>
      <c r="Q196" s="30"/>
    </row>
    <row r="197" spans="14:17" x14ac:dyDescent="0.35">
      <c r="N197" s="90"/>
      <c r="Q197" s="30"/>
    </row>
    <row r="198" spans="14:17" x14ac:dyDescent="0.35">
      <c r="N198" s="90"/>
      <c r="Q198" s="30"/>
    </row>
    <row r="199" spans="14:17" x14ac:dyDescent="0.35">
      <c r="N199" s="90"/>
      <c r="Q199" s="30"/>
    </row>
    <row r="200" spans="14:17" x14ac:dyDescent="0.35">
      <c r="N200" s="90"/>
      <c r="Q200" s="30"/>
    </row>
    <row r="201" spans="14:17" x14ac:dyDescent="0.35">
      <c r="N201" s="90"/>
      <c r="Q201" s="30"/>
    </row>
    <row r="202" spans="14:17" x14ac:dyDescent="0.35">
      <c r="N202" s="90"/>
      <c r="Q202" s="30"/>
    </row>
    <row r="203" spans="14:17" x14ac:dyDescent="0.35">
      <c r="N203" s="90"/>
      <c r="Q203" s="30"/>
    </row>
    <row r="204" spans="14:17" x14ac:dyDescent="0.35">
      <c r="N204" s="90"/>
      <c r="Q204" s="30"/>
    </row>
    <row r="205" spans="14:17" x14ac:dyDescent="0.35">
      <c r="N205" s="90"/>
      <c r="Q205" s="30"/>
    </row>
    <row r="206" spans="14:17" x14ac:dyDescent="0.35">
      <c r="N206" s="90"/>
      <c r="Q206" s="30"/>
    </row>
    <row r="207" spans="14:17" x14ac:dyDescent="0.35">
      <c r="N207" s="90"/>
      <c r="Q207" s="30"/>
    </row>
    <row r="208" spans="14:17" x14ac:dyDescent="0.35">
      <c r="N208" s="90"/>
      <c r="Q208" s="30"/>
    </row>
    <row r="209" spans="14:17" x14ac:dyDescent="0.35">
      <c r="N209" s="90"/>
      <c r="Q209" s="30"/>
    </row>
    <row r="210" spans="14:17" x14ac:dyDescent="0.35">
      <c r="N210" s="90"/>
      <c r="Q210" s="30"/>
    </row>
    <row r="211" spans="14:17" x14ac:dyDescent="0.35">
      <c r="N211" s="90"/>
      <c r="Q211" s="30"/>
    </row>
    <row r="212" spans="14:17" x14ac:dyDescent="0.35">
      <c r="N212" s="90"/>
      <c r="Q212" s="30"/>
    </row>
    <row r="213" spans="14:17" x14ac:dyDescent="0.35">
      <c r="N213" s="90"/>
      <c r="Q213" s="30"/>
    </row>
    <row r="214" spans="14:17" x14ac:dyDescent="0.35">
      <c r="N214" s="90"/>
      <c r="Q214" s="30"/>
    </row>
    <row r="215" spans="14:17" x14ac:dyDescent="0.35">
      <c r="N215" s="90"/>
      <c r="Q215" s="30"/>
    </row>
    <row r="216" spans="14:17" x14ac:dyDescent="0.35">
      <c r="N216" s="90"/>
      <c r="Q216" s="30"/>
    </row>
    <row r="217" spans="14:17" x14ac:dyDescent="0.35">
      <c r="N217" s="90"/>
      <c r="Q217" s="30"/>
    </row>
  </sheetData>
  <customSheetViews>
    <customSheetView guid="{D3B96324-F501-48FE-9FB5-D5CAA0435798}" scale="70" showAutoFilter="1">
      <pane ySplit="1" topLeftCell="A116" activePane="bottomLeft" state="frozen"/>
      <selection pane="bottomLeft" activeCell="S159" sqref="S159"/>
      <pageMargins left="0" right="0" top="0" bottom="0" header="0" footer="0"/>
      <pageSetup orientation="portrait" horizontalDpi="300" verticalDpi="300" r:id="rId1"/>
      <autoFilter ref="A1:Y105" xr:uid="{B62A79F4-EBD2-417C-9671-BE98D1979960}"/>
    </customSheetView>
    <customSheetView guid="{DCECD019-2153-4FC6-B239-22C55039ABFE}" scale="70" showAutoFilter="1">
      <pane ySplit="1" topLeftCell="A116" activePane="bottomLeft" state="frozen"/>
      <selection pane="bottomLeft" activeCell="S159" sqref="S159"/>
      <pageMargins left="0" right="0" top="0" bottom="0" header="0" footer="0"/>
      <pageSetup orientation="portrait" horizontalDpi="300" verticalDpi="300" r:id="rId2"/>
      <autoFilter ref="A1:Y105" xr:uid="{42B534D2-0795-4F56-8010-2794A01BB299}"/>
    </customSheetView>
  </customSheetViews>
  <mergeCells count="3">
    <mergeCell ref="C138:O138"/>
    <mergeCell ref="A127:P127"/>
    <mergeCell ref="B128:P128"/>
  </mergeCells>
  <phoneticPr fontId="32" type="noConversion"/>
  <conditionalFormatting sqref="C140:P158">
    <cfRule type="cellIs" dxfId="1" priority="1" operator="greaterThanOrEqual">
      <formula>1</formula>
    </cfRule>
  </conditionalFormatting>
  <pageMargins left="0.7" right="0.7" top="0.75" bottom="0.75" header="0.3" footer="0.3"/>
  <pageSetup orientation="portrait" horizontalDpi="300" verticalDpi="300" r:id="rId3"/>
  <ignoredErrors>
    <ignoredError sqref="K140:M140" emptyCellReferenc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F0325-8DE6-4A0A-9734-007F7D5B9A9F}">
  <sheetPr codeName="Sheet28">
    <tabColor rgb="FFFFFF00"/>
  </sheetPr>
  <dimension ref="A25:AM40"/>
  <sheetViews>
    <sheetView topLeftCell="O4" zoomScale="110" zoomScaleNormal="110" zoomScaleSheetLayoutView="394" workbookViewId="0">
      <selection activeCell="P40" sqref="P40"/>
    </sheetView>
  </sheetViews>
  <sheetFormatPr defaultRowHeight="14.5" x14ac:dyDescent="0.35"/>
  <sheetData>
    <row r="25" spans="1:39" ht="15.5" x14ac:dyDescent="0.35">
      <c r="A25" s="118" t="s">
        <v>402</v>
      </c>
    </row>
    <row r="26" spans="1:39" ht="36.5" x14ac:dyDescent="0.35">
      <c r="A26" s="74" t="s">
        <v>153</v>
      </c>
      <c r="B26" s="71" t="s">
        <v>154</v>
      </c>
      <c r="C26" s="71" t="s">
        <v>155</v>
      </c>
      <c r="D26" s="71"/>
      <c r="E26" s="71"/>
      <c r="F26" s="71"/>
      <c r="G26" s="71"/>
      <c r="H26" s="71"/>
      <c r="I26" s="71"/>
      <c r="J26" s="71"/>
      <c r="K26" s="71"/>
      <c r="L26" s="71"/>
      <c r="M26" s="74" t="s">
        <v>153</v>
      </c>
      <c r="N26" s="71" t="s">
        <v>154</v>
      </c>
      <c r="O26" s="71" t="s">
        <v>155</v>
      </c>
      <c r="P26" s="71"/>
      <c r="Q26" s="71"/>
      <c r="X26" s="74" t="s">
        <v>403</v>
      </c>
      <c r="Z26" s="80" t="s">
        <v>383</v>
      </c>
      <c r="AA26" s="80" t="s">
        <v>384</v>
      </c>
      <c r="AB26" s="80"/>
      <c r="AC26" s="81" t="s">
        <v>404</v>
      </c>
      <c r="AG26" s="75" t="s">
        <v>405</v>
      </c>
      <c r="AH26" s="75"/>
      <c r="AI26" s="76" t="s">
        <v>383</v>
      </c>
      <c r="AJ26" s="76" t="s">
        <v>384</v>
      </c>
      <c r="AK26" s="82"/>
      <c r="AL26" s="83"/>
      <c r="AM26" s="81" t="s">
        <v>404</v>
      </c>
    </row>
    <row r="27" spans="1:39" ht="14.5" customHeight="1" x14ac:dyDescent="0.35">
      <c r="A27" s="71" t="s">
        <v>157</v>
      </c>
      <c r="B27" s="71">
        <v>0</v>
      </c>
      <c r="C27" s="71">
        <v>1.2</v>
      </c>
      <c r="D27" s="71"/>
      <c r="E27" s="71"/>
      <c r="F27" s="71"/>
      <c r="G27" s="71"/>
      <c r="H27" s="71"/>
      <c r="I27" s="71"/>
      <c r="J27" s="71"/>
      <c r="K27" s="71"/>
      <c r="L27" s="71"/>
      <c r="M27" s="71" t="s">
        <v>157</v>
      </c>
      <c r="N27" s="71">
        <v>0</v>
      </c>
      <c r="O27" s="71">
        <v>0.3</v>
      </c>
      <c r="P27" s="71"/>
      <c r="Q27" s="71"/>
      <c r="X27" s="71" t="s">
        <v>385</v>
      </c>
      <c r="Y27" s="71"/>
      <c r="Z27" s="71">
        <v>0</v>
      </c>
      <c r="AA27" s="71">
        <v>51</v>
      </c>
      <c r="AG27" s="71" t="s">
        <v>385</v>
      </c>
      <c r="AH27" s="71"/>
      <c r="AI27" s="77">
        <v>0</v>
      </c>
      <c r="AJ27" s="77">
        <v>70</v>
      </c>
    </row>
    <row r="28" spans="1:39" x14ac:dyDescent="0.35">
      <c r="A28" s="71" t="s">
        <v>158</v>
      </c>
      <c r="B28" s="71">
        <v>6</v>
      </c>
      <c r="C28" s="71">
        <v>3.2</v>
      </c>
      <c r="D28" s="71"/>
      <c r="E28" s="71"/>
      <c r="F28" s="71"/>
      <c r="G28" s="71"/>
      <c r="H28" s="71"/>
      <c r="I28" s="71"/>
      <c r="J28" s="71"/>
      <c r="K28" s="71"/>
      <c r="L28" s="71"/>
      <c r="M28" s="71" t="s">
        <v>158</v>
      </c>
      <c r="N28" s="71">
        <v>6</v>
      </c>
      <c r="O28" s="71">
        <v>1.05</v>
      </c>
      <c r="P28" s="71"/>
      <c r="Q28" s="71"/>
      <c r="X28" s="71" t="s">
        <v>386</v>
      </c>
      <c r="Y28" s="71"/>
      <c r="Z28" s="71">
        <v>6</v>
      </c>
      <c r="AA28" s="71">
        <v>51</v>
      </c>
      <c r="AG28" s="71" t="s">
        <v>386</v>
      </c>
      <c r="AH28" s="71"/>
      <c r="AI28" s="77">
        <v>6</v>
      </c>
      <c r="AJ28" s="77">
        <v>70</v>
      </c>
    </row>
    <row r="29" spans="1:39" x14ac:dyDescent="0.35">
      <c r="A29" s="71"/>
      <c r="B29" s="71"/>
      <c r="C29" s="71"/>
      <c r="D29" s="71"/>
      <c r="E29" s="71"/>
      <c r="F29" s="71"/>
      <c r="G29" s="71"/>
      <c r="H29" s="71"/>
      <c r="I29" s="71"/>
      <c r="J29" s="71"/>
      <c r="K29" s="71"/>
      <c r="L29" s="71"/>
      <c r="M29" s="71"/>
      <c r="N29" s="71"/>
      <c r="O29" s="71"/>
      <c r="P29" s="71"/>
      <c r="Q29" s="71"/>
      <c r="X29" s="71"/>
      <c r="Y29" s="71"/>
      <c r="Z29" s="71"/>
      <c r="AA29" s="71"/>
      <c r="AI29" s="25"/>
      <c r="AJ29" s="25"/>
    </row>
    <row r="30" spans="1:39" x14ac:dyDescent="0.35">
      <c r="A30" s="71"/>
      <c r="B30" s="71"/>
      <c r="C30" s="71"/>
      <c r="D30" s="71"/>
      <c r="E30" s="71"/>
      <c r="F30" s="71"/>
      <c r="G30" s="71"/>
      <c r="H30" s="71"/>
      <c r="I30" s="71"/>
      <c r="J30" s="71"/>
      <c r="K30" s="71"/>
      <c r="L30" s="71"/>
      <c r="M30" s="71"/>
      <c r="N30" s="71"/>
      <c r="O30" s="71"/>
      <c r="P30" s="71"/>
      <c r="Q30" s="71"/>
      <c r="X30" s="71" t="s">
        <v>406</v>
      </c>
      <c r="Y30" s="71"/>
      <c r="Z30" s="71"/>
      <c r="AG30" s="71" t="s">
        <v>407</v>
      </c>
      <c r="AH30" s="71"/>
    </row>
    <row r="31" spans="1:39" x14ac:dyDescent="0.35">
      <c r="A31" s="71" t="s">
        <v>408</v>
      </c>
      <c r="B31" s="71"/>
      <c r="C31" s="71"/>
      <c r="D31" s="71"/>
      <c r="E31" s="71"/>
      <c r="F31" s="71"/>
      <c r="G31" s="71"/>
      <c r="H31" s="71"/>
      <c r="I31" s="71"/>
      <c r="J31" s="71"/>
      <c r="K31" s="71"/>
      <c r="L31" s="71"/>
      <c r="M31" s="71" t="s">
        <v>408</v>
      </c>
      <c r="N31" s="71"/>
      <c r="O31" s="71"/>
      <c r="P31" s="71"/>
      <c r="Q31" s="71"/>
      <c r="X31" s="71" t="s">
        <v>26</v>
      </c>
      <c r="Y31" s="71"/>
      <c r="Z31" s="71"/>
      <c r="AG31" s="78" t="s">
        <v>27</v>
      </c>
      <c r="AH31" s="71"/>
    </row>
    <row r="32" spans="1:39" x14ac:dyDescent="0.35">
      <c r="A32" s="71" t="s">
        <v>150</v>
      </c>
      <c r="B32" s="71"/>
      <c r="C32" s="71"/>
      <c r="D32" s="71"/>
      <c r="E32" s="71"/>
      <c r="F32" s="71"/>
      <c r="G32" s="71"/>
      <c r="H32" s="71"/>
      <c r="I32" s="71"/>
      <c r="J32" s="71"/>
      <c r="K32" s="71"/>
      <c r="L32" s="71"/>
      <c r="M32" s="71" t="s">
        <v>25</v>
      </c>
      <c r="N32" s="71"/>
      <c r="O32" s="71"/>
      <c r="P32" s="71"/>
      <c r="Q32" s="71"/>
      <c r="X32" s="71" t="s">
        <v>161</v>
      </c>
      <c r="Y32" s="71" t="s">
        <v>155</v>
      </c>
      <c r="Z32" s="71"/>
      <c r="AG32" s="71" t="s">
        <v>161</v>
      </c>
      <c r="AH32" s="71" t="s">
        <v>155</v>
      </c>
    </row>
    <row r="33" spans="1:34" x14ac:dyDescent="0.35">
      <c r="A33" s="71" t="s">
        <v>161</v>
      </c>
      <c r="B33" s="71" t="s">
        <v>155</v>
      </c>
      <c r="C33" s="71"/>
      <c r="D33" s="71"/>
      <c r="E33" s="71"/>
      <c r="F33" s="71"/>
      <c r="G33" s="71"/>
      <c r="H33" s="71"/>
      <c r="I33" s="71"/>
      <c r="J33" s="71"/>
      <c r="K33" s="71"/>
      <c r="L33" s="71"/>
      <c r="M33" s="71" t="s">
        <v>161</v>
      </c>
      <c r="N33" s="71" t="s">
        <v>155</v>
      </c>
      <c r="O33" s="71"/>
      <c r="P33" s="71"/>
      <c r="Q33" s="71"/>
      <c r="X33" s="71">
        <v>0</v>
      </c>
      <c r="Y33" s="71">
        <v>55</v>
      </c>
      <c r="Z33" s="71"/>
      <c r="AG33" s="71">
        <v>0</v>
      </c>
      <c r="AH33" s="71">
        <v>76</v>
      </c>
    </row>
    <row r="34" spans="1:34" x14ac:dyDescent="0.35">
      <c r="A34" s="71">
        <v>0</v>
      </c>
      <c r="B34" s="71">
        <f>A34*0.133+0.64</f>
        <v>0.64</v>
      </c>
      <c r="C34" s="71"/>
      <c r="D34" s="71"/>
      <c r="E34" s="71"/>
      <c r="F34" s="71"/>
      <c r="G34" s="71"/>
      <c r="H34" s="71"/>
      <c r="I34" s="71"/>
      <c r="J34" s="71"/>
      <c r="K34" s="71"/>
      <c r="L34" s="71"/>
      <c r="M34" s="71">
        <v>0</v>
      </c>
      <c r="N34" s="71">
        <f>M34*0.08+0.4989</f>
        <v>0.49890000000000001</v>
      </c>
      <c r="O34" s="71"/>
      <c r="P34" s="71"/>
      <c r="Q34" s="71"/>
      <c r="X34" s="71">
        <v>40</v>
      </c>
      <c r="Y34" s="71">
        <v>55</v>
      </c>
      <c r="Z34" s="71"/>
      <c r="AG34" s="71">
        <v>40</v>
      </c>
      <c r="AH34" s="71">
        <v>76</v>
      </c>
    </row>
    <row r="35" spans="1:34" x14ac:dyDescent="0.35">
      <c r="A35" s="71">
        <v>8</v>
      </c>
      <c r="B35" s="71">
        <f>A35*0.133+0.64</f>
        <v>1.7040000000000002</v>
      </c>
      <c r="C35" s="71"/>
      <c r="D35" s="71"/>
      <c r="E35" s="71"/>
      <c r="F35" s="71"/>
      <c r="G35" s="71"/>
      <c r="H35" s="71"/>
      <c r="I35" s="71"/>
      <c r="J35" s="71"/>
      <c r="K35" s="71"/>
      <c r="L35" s="71"/>
      <c r="M35" s="71">
        <v>8</v>
      </c>
      <c r="N35" s="71">
        <f>M35*0.08+0.4989</f>
        <v>1.1389</v>
      </c>
      <c r="O35" s="71"/>
      <c r="P35" s="71"/>
      <c r="Q35" s="71"/>
      <c r="X35" s="71"/>
      <c r="Y35" s="71"/>
      <c r="Z35" s="71"/>
    </row>
    <row r="36" spans="1:34" x14ac:dyDescent="0.35">
      <c r="A36" s="71"/>
      <c r="B36" s="71"/>
      <c r="C36" s="71"/>
      <c r="D36" s="71"/>
      <c r="E36" s="71"/>
      <c r="F36" s="71"/>
      <c r="G36" s="71"/>
      <c r="H36" s="71"/>
      <c r="I36" s="71"/>
      <c r="J36" s="71"/>
      <c r="K36" s="71"/>
      <c r="L36" s="71"/>
      <c r="M36" s="71"/>
      <c r="N36" s="71"/>
      <c r="O36" s="71"/>
      <c r="P36" s="71"/>
      <c r="Q36" s="71"/>
    </row>
    <row r="37" spans="1:34" x14ac:dyDescent="0.35">
      <c r="A37" s="71"/>
      <c r="B37" s="71"/>
      <c r="C37" s="71"/>
      <c r="D37" s="71"/>
      <c r="E37" s="71"/>
      <c r="F37" s="71"/>
      <c r="G37" s="71"/>
      <c r="H37" s="71"/>
      <c r="I37" s="71"/>
      <c r="J37" s="71"/>
      <c r="K37" s="71"/>
      <c r="L37" s="71"/>
      <c r="M37" s="71"/>
      <c r="N37" s="71"/>
      <c r="O37" s="71"/>
      <c r="P37" s="71"/>
      <c r="Q37" s="71"/>
    </row>
    <row r="38" spans="1:34" x14ac:dyDescent="0.35">
      <c r="A38" s="71"/>
      <c r="B38" s="71"/>
      <c r="C38" s="71"/>
      <c r="D38" s="71"/>
      <c r="E38" s="71"/>
      <c r="F38" s="71"/>
      <c r="G38" s="71"/>
      <c r="H38" s="71"/>
      <c r="I38" s="71"/>
      <c r="J38" s="71"/>
      <c r="K38" s="71"/>
      <c r="L38" s="71"/>
      <c r="M38" s="71"/>
      <c r="N38" s="71"/>
      <c r="O38" s="71"/>
      <c r="P38" s="71"/>
      <c r="Q38" s="71"/>
    </row>
    <row r="39" spans="1:34" x14ac:dyDescent="0.35">
      <c r="A39" s="71"/>
      <c r="B39" s="71"/>
      <c r="C39" s="71"/>
      <c r="D39" s="71"/>
      <c r="E39" s="71"/>
      <c r="F39" s="71"/>
      <c r="G39" s="71"/>
      <c r="H39" s="71"/>
      <c r="I39" s="71"/>
      <c r="J39" s="71"/>
      <c r="K39" s="71"/>
      <c r="L39" s="71"/>
      <c r="M39" s="71"/>
      <c r="N39" s="71"/>
      <c r="O39" s="71"/>
      <c r="P39" s="71"/>
      <c r="Q39" s="71"/>
    </row>
    <row r="40" spans="1:34" x14ac:dyDescent="0.35">
      <c r="A40" s="71"/>
      <c r="B40" s="71"/>
      <c r="C40" s="71"/>
      <c r="D40" s="71"/>
      <c r="E40" s="71"/>
      <c r="F40" s="71"/>
      <c r="G40" s="71"/>
      <c r="H40" s="71"/>
      <c r="I40" s="71"/>
      <c r="J40" s="71"/>
      <c r="K40" s="71"/>
      <c r="L40" s="71"/>
      <c r="M40" s="71"/>
      <c r="N40" s="71"/>
      <c r="O40" s="71"/>
      <c r="P40" s="71"/>
      <c r="Q40" s="71"/>
    </row>
  </sheetData>
  <customSheetViews>
    <customSheetView guid="{D3B96324-F501-48FE-9FB5-D5CAA0435798}" scale="90" topLeftCell="R1">
      <selection activeCell="AN34" sqref="AN34"/>
      <pageMargins left="0" right="0" top="0" bottom="0" header="0" footer="0"/>
      <pageSetup orientation="portrait" horizontalDpi="300" verticalDpi="300" r:id="rId1"/>
    </customSheetView>
    <customSheetView guid="{DCECD019-2153-4FC6-B239-22C55039ABFE}" scale="90" topLeftCell="R1">
      <selection activeCell="AN34" sqref="AN34"/>
      <pageMargins left="0" right="0" top="0" bottom="0" header="0" footer="0"/>
      <pageSetup orientation="portrait" horizontalDpi="300" verticalDpi="300" r:id="rId2"/>
    </customSheetView>
  </customSheetViews>
  <pageMargins left="0.7" right="0.7" top="0.75" bottom="0.75" header="0.3" footer="0.3"/>
  <pageSetup orientation="portrait" horizontalDpi="300" verticalDpi="300"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DE140A-DB70-4D64-8572-B58461AD431C}">
  <sheetPr codeName="Sheet29">
    <tabColor rgb="FFFFFF00"/>
  </sheetPr>
  <dimension ref="A1:AA47"/>
  <sheetViews>
    <sheetView zoomScale="80" zoomScaleNormal="80" workbookViewId="0">
      <pane ySplit="1" topLeftCell="A2" activePane="bottomLeft" state="frozen"/>
      <selection activeCell="P40" sqref="P40"/>
      <selection pane="bottomLeft" activeCell="P40" sqref="P40"/>
    </sheetView>
  </sheetViews>
  <sheetFormatPr defaultRowHeight="14.5" x14ac:dyDescent="0.35"/>
  <cols>
    <col min="1" max="1" width="12.81640625" customWidth="1"/>
    <col min="2" max="2" width="13.26953125" customWidth="1"/>
    <col min="3" max="3" width="8.81640625" customWidth="1"/>
    <col min="4" max="4" width="5.81640625" customWidth="1"/>
    <col min="9" max="9" width="9.453125" customWidth="1"/>
    <col min="10" max="10" width="10.81640625" customWidth="1"/>
    <col min="11" max="11" width="11.1796875" customWidth="1"/>
    <col min="12" max="12" width="11.453125" customWidth="1"/>
    <col min="16" max="16" width="10.1796875" customWidth="1"/>
    <col min="24" max="25" width="10.54296875" customWidth="1"/>
    <col min="26" max="26" width="10.26953125" customWidth="1"/>
  </cols>
  <sheetData>
    <row r="1" spans="1:27" s="12" customFormat="1" ht="116" x14ac:dyDescent="0.35">
      <c r="A1" s="12" t="s">
        <v>409</v>
      </c>
      <c r="B1" s="12" t="s">
        <v>164</v>
      </c>
      <c r="C1" s="12" t="s">
        <v>165</v>
      </c>
      <c r="D1" s="12" t="s">
        <v>0</v>
      </c>
      <c r="E1" s="12" t="s">
        <v>1</v>
      </c>
      <c r="F1" s="12" t="s">
        <v>168</v>
      </c>
      <c r="G1" s="12" t="s">
        <v>169</v>
      </c>
      <c r="H1" s="12" t="s">
        <v>52</v>
      </c>
      <c r="I1" s="12" t="s">
        <v>53</v>
      </c>
      <c r="J1" s="12" t="s">
        <v>170</v>
      </c>
      <c r="K1" s="12" t="s">
        <v>105</v>
      </c>
      <c r="L1" s="12" t="s">
        <v>106</v>
      </c>
      <c r="M1" s="26" t="s">
        <v>410</v>
      </c>
      <c r="N1" s="12" t="s">
        <v>411</v>
      </c>
      <c r="Q1" s="12" t="s">
        <v>412</v>
      </c>
      <c r="R1" s="12" t="s">
        <v>176</v>
      </c>
      <c r="S1" s="12" t="s">
        <v>177</v>
      </c>
      <c r="T1" s="12" t="s">
        <v>178</v>
      </c>
      <c r="U1" s="12" t="s">
        <v>179</v>
      </c>
      <c r="V1" s="26" t="s">
        <v>413</v>
      </c>
      <c r="W1" s="12" t="s">
        <v>414</v>
      </c>
      <c r="X1" s="12" t="s">
        <v>415</v>
      </c>
      <c r="Z1" s="12" t="s">
        <v>387</v>
      </c>
      <c r="AA1" s="12" t="s">
        <v>416</v>
      </c>
    </row>
    <row r="2" spans="1:27" s="12" customFormat="1" ht="43.5" x14ac:dyDescent="0.35">
      <c r="A2" s="12">
        <v>1</v>
      </c>
      <c r="B2" s="12" t="s">
        <v>373</v>
      </c>
      <c r="D2" t="s">
        <v>417</v>
      </c>
      <c r="E2" t="s">
        <v>388</v>
      </c>
      <c r="F2" s="12">
        <v>3.08</v>
      </c>
      <c r="G2" s="12">
        <v>0.76800000000000002</v>
      </c>
      <c r="J2" s="12">
        <v>4</v>
      </c>
      <c r="M2" s="26">
        <f>0.3333*J2+1.2</f>
        <v>2.5331999999999999</v>
      </c>
      <c r="N2" s="12">
        <f>0.125*J2+0.3</f>
        <v>0.8</v>
      </c>
      <c r="O2" s="12" t="s">
        <v>173</v>
      </c>
      <c r="P2" s="12" t="s">
        <v>174</v>
      </c>
      <c r="Q2" s="12" t="str">
        <f t="shared" ref="Q2:Q7" si="0">IF((AND(F2&lt;=M2, G2&lt;=N2, H2&gt;=$O$3, I2&gt;=$P$3)), "Pass", "Fail")</f>
        <v>Fail</v>
      </c>
      <c r="R2" s="12" t="str">
        <f t="shared" ref="R2:R7" si="1">IF(F2&lt;=M2, "Pass", "Fail")</f>
        <v>Fail</v>
      </c>
      <c r="S2" s="12" t="str">
        <f t="shared" ref="S2:S7" si="2">IF(G2&lt;=N2, "Pass", "Fail")</f>
        <v>Pass</v>
      </c>
      <c r="T2" s="12" t="str">
        <f t="shared" ref="T2:T6" si="3">IF(H2&gt;=$O$3, "Pass", "Fail")</f>
        <v>Fail</v>
      </c>
      <c r="U2" s="12" t="str">
        <f t="shared" ref="U2:U7" si="4">IF(I2&gt;=$P$3, "Pass", "Fail")</f>
        <v>Fail</v>
      </c>
      <c r="V2" s="26" t="s">
        <v>18</v>
      </c>
    </row>
    <row r="3" spans="1:27" s="12" customFormat="1" x14ac:dyDescent="0.35">
      <c r="A3" s="12">
        <v>2</v>
      </c>
      <c r="B3" s="12" t="s">
        <v>373</v>
      </c>
      <c r="D3" t="s">
        <v>417</v>
      </c>
      <c r="E3" t="s">
        <v>388</v>
      </c>
      <c r="F3" s="12">
        <v>4.9749999999999996</v>
      </c>
      <c r="G3" s="12">
        <v>0.71599999999999997</v>
      </c>
      <c r="J3" s="12">
        <v>4</v>
      </c>
      <c r="M3" s="26">
        <f t="shared" ref="M3:M6" si="5">0.3333*J3+1.2</f>
        <v>2.5331999999999999</v>
      </c>
      <c r="N3" s="12">
        <f t="shared" ref="N3:N7" si="6">0.125*J3+0.3</f>
        <v>0.8</v>
      </c>
      <c r="O3" s="12">
        <f>OldGraph_2_3rd_CombiE!AA27</f>
        <v>51</v>
      </c>
      <c r="P3" s="85">
        <f>OldGraph_2_3rd_CombiE!AJ27</f>
        <v>70</v>
      </c>
      <c r="Q3" s="12" t="str">
        <f t="shared" si="0"/>
        <v>Fail</v>
      </c>
      <c r="R3" s="12" t="str">
        <f t="shared" si="1"/>
        <v>Fail</v>
      </c>
      <c r="S3" s="12" t="str">
        <f t="shared" si="2"/>
        <v>Pass</v>
      </c>
      <c r="T3" s="12" t="str">
        <f t="shared" si="3"/>
        <v>Fail</v>
      </c>
      <c r="U3" s="12" t="str">
        <f t="shared" si="4"/>
        <v>Fail</v>
      </c>
      <c r="V3" s="26" t="s">
        <v>18</v>
      </c>
    </row>
    <row r="4" spans="1:27" s="12" customFormat="1" ht="29" x14ac:dyDescent="0.35">
      <c r="A4" s="12">
        <v>3</v>
      </c>
      <c r="B4" s="12" t="s">
        <v>232</v>
      </c>
      <c r="C4" s="12" t="s">
        <v>374</v>
      </c>
      <c r="D4" t="s">
        <v>417</v>
      </c>
      <c r="E4" t="s">
        <v>6</v>
      </c>
      <c r="F4" s="12">
        <v>1.33</v>
      </c>
      <c r="G4" s="12">
        <v>0.76</v>
      </c>
      <c r="H4" s="12">
        <v>49.4</v>
      </c>
      <c r="I4" s="12">
        <v>60</v>
      </c>
      <c r="J4" s="12">
        <v>4</v>
      </c>
      <c r="K4" s="12">
        <v>37.799999999999997</v>
      </c>
      <c r="L4" s="12">
        <v>20.2</v>
      </c>
      <c r="M4" s="26">
        <f t="shared" si="5"/>
        <v>2.5331999999999999</v>
      </c>
      <c r="N4" s="12">
        <f t="shared" si="6"/>
        <v>0.8</v>
      </c>
      <c r="Q4" s="12" t="str">
        <f t="shared" si="0"/>
        <v>Fail</v>
      </c>
      <c r="R4" s="12" t="str">
        <f t="shared" si="1"/>
        <v>Pass</v>
      </c>
      <c r="S4" s="12" t="str">
        <f t="shared" si="2"/>
        <v>Pass</v>
      </c>
      <c r="T4" s="12" t="str">
        <f t="shared" si="3"/>
        <v>Fail</v>
      </c>
      <c r="U4" s="12" t="str">
        <f t="shared" si="4"/>
        <v>Fail</v>
      </c>
      <c r="V4" s="26">
        <f t="shared" ref="V4" si="7">AVERAGE(W4,X4)</f>
        <v>0.32500000000000001</v>
      </c>
      <c r="W4" s="12">
        <v>0.26</v>
      </c>
      <c r="X4" s="12">
        <v>0.39</v>
      </c>
    </row>
    <row r="5" spans="1:27" s="127" customFormat="1" ht="14.5" customHeight="1" x14ac:dyDescent="0.35">
      <c r="A5" s="131">
        <v>4</v>
      </c>
      <c r="B5" s="127" t="s">
        <v>292</v>
      </c>
      <c r="C5" s="127" t="s">
        <v>375</v>
      </c>
      <c r="D5" s="128" t="s">
        <v>417</v>
      </c>
      <c r="E5" s="128" t="s">
        <v>388</v>
      </c>
      <c r="F5" s="127">
        <v>0.54</v>
      </c>
      <c r="G5" s="127">
        <v>0.435</v>
      </c>
      <c r="J5" s="127">
        <v>4</v>
      </c>
      <c r="M5" s="26">
        <f t="shared" si="5"/>
        <v>2.5331999999999999</v>
      </c>
      <c r="N5" s="12">
        <f t="shared" si="6"/>
        <v>0.8</v>
      </c>
      <c r="Q5" s="127" t="str">
        <f t="shared" si="0"/>
        <v>Fail</v>
      </c>
      <c r="R5" s="127" t="str">
        <f t="shared" si="1"/>
        <v>Pass</v>
      </c>
      <c r="S5" s="127" t="str">
        <f t="shared" si="2"/>
        <v>Pass</v>
      </c>
      <c r="T5" s="127" t="str">
        <f t="shared" si="3"/>
        <v>Fail</v>
      </c>
      <c r="U5" s="127" t="str">
        <f t="shared" si="4"/>
        <v>Fail</v>
      </c>
      <c r="V5" s="129" t="s">
        <v>18</v>
      </c>
    </row>
    <row r="6" spans="1:27" s="127" customFormat="1" ht="28.5" customHeight="1" x14ac:dyDescent="0.35">
      <c r="A6" s="130">
        <v>5</v>
      </c>
      <c r="B6" s="127" t="s">
        <v>292</v>
      </c>
      <c r="C6" s="127" t="s">
        <v>376</v>
      </c>
      <c r="D6" s="128" t="s">
        <v>417</v>
      </c>
      <c r="E6" s="128" t="s">
        <v>388</v>
      </c>
      <c r="F6" s="127">
        <v>0.51</v>
      </c>
      <c r="G6" s="127">
        <v>0.436</v>
      </c>
      <c r="H6" s="127">
        <v>52</v>
      </c>
      <c r="I6" s="127">
        <v>75</v>
      </c>
      <c r="J6" s="127">
        <v>4</v>
      </c>
      <c r="K6" s="127">
        <v>49.38</v>
      </c>
      <c r="L6" s="127">
        <v>23.95</v>
      </c>
      <c r="M6" s="26">
        <f t="shared" si="5"/>
        <v>2.5331999999999999</v>
      </c>
      <c r="N6" s="12">
        <f t="shared" si="6"/>
        <v>0.8</v>
      </c>
      <c r="Q6" s="127" t="str">
        <f t="shared" si="0"/>
        <v>Pass</v>
      </c>
      <c r="R6" s="127" t="str">
        <f t="shared" si="1"/>
        <v>Pass</v>
      </c>
      <c r="S6" s="127" t="str">
        <f t="shared" si="2"/>
        <v>Pass</v>
      </c>
      <c r="T6" s="127" t="str">
        <f t="shared" si="3"/>
        <v>Pass</v>
      </c>
      <c r="U6" s="127" t="str">
        <f t="shared" si="4"/>
        <v>Pass</v>
      </c>
      <c r="V6" s="129" t="s">
        <v>18</v>
      </c>
      <c r="Z6" s="127">
        <v>9440</v>
      </c>
      <c r="AA6" s="127" t="s">
        <v>418</v>
      </c>
    </row>
    <row r="7" spans="1:27" s="127" customFormat="1" ht="31.5" customHeight="1" x14ac:dyDescent="0.35">
      <c r="A7" s="130">
        <v>6</v>
      </c>
      <c r="B7" s="127" t="s">
        <v>377</v>
      </c>
      <c r="C7" s="127" t="s">
        <v>378</v>
      </c>
      <c r="D7" s="128" t="s">
        <v>417</v>
      </c>
      <c r="E7" s="128" t="s">
        <v>388</v>
      </c>
      <c r="F7" s="127">
        <v>2.86</v>
      </c>
      <c r="G7" s="127">
        <v>0.78</v>
      </c>
      <c r="H7" s="132">
        <v>51.366666666666703</v>
      </c>
      <c r="I7" s="127">
        <v>70.899999999999991</v>
      </c>
      <c r="J7" s="127">
        <v>5</v>
      </c>
      <c r="M7" s="26">
        <f>0.3333*J7+1.2</f>
        <v>2.8664999999999998</v>
      </c>
      <c r="N7" s="12">
        <f t="shared" si="6"/>
        <v>0.92500000000000004</v>
      </c>
      <c r="Q7" s="127" t="str">
        <f t="shared" si="0"/>
        <v>Pass</v>
      </c>
      <c r="R7" s="127" t="str">
        <f t="shared" si="1"/>
        <v>Pass</v>
      </c>
      <c r="S7" s="127" t="str">
        <f t="shared" si="2"/>
        <v>Pass</v>
      </c>
      <c r="T7" s="127" t="str">
        <f>IF(H7&gt;=$O$3, "Pass", "Fail")</f>
        <v>Pass</v>
      </c>
      <c r="U7" s="127" t="str">
        <f t="shared" si="4"/>
        <v>Pass</v>
      </c>
      <c r="V7" s="129" t="s">
        <v>18</v>
      </c>
      <c r="Z7" s="127">
        <v>7050</v>
      </c>
      <c r="AA7" s="127" t="s">
        <v>419</v>
      </c>
    </row>
    <row r="8" spans="1:27" s="12" customFormat="1" x14ac:dyDescent="0.35">
      <c r="A8"/>
      <c r="B8"/>
      <c r="C8"/>
      <c r="D8"/>
      <c r="E8"/>
      <c r="F8"/>
      <c r="G8"/>
      <c r="H8"/>
      <c r="I8"/>
      <c r="J8"/>
      <c r="K8"/>
      <c r="L8"/>
      <c r="M8"/>
      <c r="N8"/>
      <c r="O8"/>
      <c r="P8"/>
      <c r="Q8"/>
      <c r="R8"/>
      <c r="S8"/>
      <c r="T8"/>
      <c r="U8"/>
    </row>
    <row r="9" spans="1:27" s="12" customFormat="1" x14ac:dyDescent="0.35">
      <c r="E9"/>
    </row>
    <row r="10" spans="1:27" s="12" customFormat="1" x14ac:dyDescent="0.35">
      <c r="A10" s="246" t="s">
        <v>351</v>
      </c>
      <c r="B10" s="247"/>
      <c r="C10" s="247"/>
      <c r="D10" s="247"/>
      <c r="E10" s="247"/>
      <c r="F10" s="247"/>
      <c r="G10" s="247"/>
      <c r="H10" s="247"/>
      <c r="I10" s="247"/>
      <c r="J10" s="247"/>
      <c r="K10" s="247"/>
      <c r="L10" s="247"/>
      <c r="M10" s="247"/>
      <c r="N10" s="248"/>
    </row>
    <row r="11" spans="1:27" s="12" customFormat="1" x14ac:dyDescent="0.35">
      <c r="A11" s="72"/>
      <c r="B11" s="87" t="s">
        <v>354</v>
      </c>
      <c r="C11" s="87"/>
      <c r="D11" s="87"/>
      <c r="E11" s="87"/>
      <c r="F11" s="87"/>
      <c r="G11" s="87"/>
      <c r="H11" s="87"/>
      <c r="I11" s="87"/>
      <c r="J11" s="87"/>
      <c r="K11" s="87"/>
      <c r="L11" s="88"/>
      <c r="M11" s="87"/>
      <c r="N11" s="89"/>
    </row>
    <row r="12" spans="1:27" s="12" customFormat="1" x14ac:dyDescent="0.35">
      <c r="A12" s="73"/>
      <c r="B12" s="87" t="s">
        <v>355</v>
      </c>
      <c r="C12" s="87"/>
      <c r="D12" s="87"/>
      <c r="E12" s="87"/>
      <c r="F12" s="87"/>
      <c r="G12" s="87"/>
      <c r="H12" s="87"/>
      <c r="I12" s="87"/>
      <c r="J12" s="87"/>
      <c r="K12" s="87"/>
      <c r="L12" s="88"/>
      <c r="M12" s="87"/>
      <c r="N12" s="89"/>
    </row>
    <row r="13" spans="1:27" s="12" customFormat="1" x14ac:dyDescent="0.35">
      <c r="A13" t="s">
        <v>420</v>
      </c>
    </row>
    <row r="14" spans="1:27" s="12" customFormat="1" x14ac:dyDescent="0.35">
      <c r="A14"/>
    </row>
    <row r="15" spans="1:27" x14ac:dyDescent="0.35">
      <c r="A15" s="45" t="s">
        <v>164</v>
      </c>
      <c r="B15" s="245" t="s">
        <v>356</v>
      </c>
      <c r="C15" s="245"/>
      <c r="D15" s="245"/>
    </row>
    <row r="16" spans="1:27" x14ac:dyDescent="0.35">
      <c r="B16" s="15">
        <v>3</v>
      </c>
      <c r="C16" s="15">
        <v>4</v>
      </c>
      <c r="D16" s="15">
        <v>5</v>
      </c>
      <c r="E16" t="s">
        <v>421</v>
      </c>
    </row>
    <row r="17" spans="1:25" x14ac:dyDescent="0.35">
      <c r="A17" s="15" t="s">
        <v>373</v>
      </c>
      <c r="B17">
        <f>COUNTIFS($B$2:$B8, "Competitor", $Q$2:$Q8, "Pass",$J$2:$J8, "3")</f>
        <v>0</v>
      </c>
      <c r="C17">
        <f>COUNTIFS($B$2:$B8, "Competitor", $Q$2:$Q8, "Pass",$J$2:$J8, "4")</f>
        <v>0</v>
      </c>
      <c r="D17" s="67">
        <f>COUNTIFS($B$2:$B8, "Competitor", $Q$2:$Q8, "Pass",$J$2:$J8, "5")</f>
        <v>0</v>
      </c>
      <c r="E17">
        <f t="shared" ref="E17:E19" si="8">SUM(C17:D17)</f>
        <v>0</v>
      </c>
    </row>
    <row r="18" spans="1:25" x14ac:dyDescent="0.35">
      <c r="A18" s="15" t="s">
        <v>279</v>
      </c>
      <c r="B18">
        <f>COUNTIFS($B$2:$B8, "Rational AG", $Q$2:$Q8, "Pass",$J$2:$J8, "3")</f>
        <v>0</v>
      </c>
      <c r="C18">
        <f>COUNTIFS($B$2:$B8, "Rational AG", $Q$2:$Q8, "Pass",$J$2:$J8, "4")</f>
        <v>1</v>
      </c>
      <c r="D18" s="67">
        <f>COUNTIFS($B$2:$B8, "Rational AG", $Q$2:$Q8, "Pass",$J$2:$J8, "5")</f>
        <v>0</v>
      </c>
      <c r="E18">
        <f t="shared" si="8"/>
        <v>1</v>
      </c>
    </row>
    <row r="19" spans="1:25" x14ac:dyDescent="0.35">
      <c r="A19" s="15" t="s">
        <v>299</v>
      </c>
      <c r="B19" s="79">
        <f>COUNTIFS($B$2:$B8, "Unox S.p.A.", $Q$2:$Q8, "Pass",$J$2:$J8, "3")</f>
        <v>0</v>
      </c>
      <c r="C19" s="79">
        <f>COUNTIFS($B$2:$B8, "Unox S.p.A.", $Q$2:$Q8, "Pass",$J$2:$J8, "4")</f>
        <v>0</v>
      </c>
      <c r="D19" s="67">
        <f>COUNTIFS($B$2:$B8, "Unox S.p.A", $Q$2:$Q8, "Pass",$J$2:$J8, "5")</f>
        <v>1</v>
      </c>
      <c r="E19">
        <f t="shared" si="8"/>
        <v>1</v>
      </c>
    </row>
    <row r="20" spans="1:25" s="12" customFormat="1" ht="29" x14ac:dyDescent="0.35">
      <c r="A20" s="45" t="s">
        <v>358</v>
      </c>
      <c r="B20" s="12">
        <f>COUNTIF(J2:J8, "3")</f>
        <v>0</v>
      </c>
      <c r="C20" s="12">
        <f>COUNTIF(J2:J8, "4")</f>
        <v>5</v>
      </c>
      <c r="D20" s="50">
        <f>COUNTIF(J2:J8, "5")</f>
        <v>1</v>
      </c>
      <c r="E20" s="12">
        <f>COUNTIF(E17:E19, "&gt;=1")</f>
        <v>2</v>
      </c>
    </row>
    <row r="21" spans="1:25" s="12" customFormat="1" ht="29" x14ac:dyDescent="0.35">
      <c r="A21" s="45" t="s">
        <v>359</v>
      </c>
      <c r="B21" s="12">
        <f>SUM(B17:B19)</f>
        <v>0</v>
      </c>
      <c r="C21" s="12">
        <f>SUM(C17:C19)</f>
        <v>1</v>
      </c>
      <c r="D21" s="12">
        <f>SUM(D17:D19)</f>
        <v>1</v>
      </c>
    </row>
    <row r="22" spans="1:25" s="12" customFormat="1" ht="43.5" x14ac:dyDescent="0.35">
      <c r="A22" s="45" t="s">
        <v>360</v>
      </c>
      <c r="B22" s="86" t="str">
        <f>IFERROR(B21/B20, " ")</f>
        <v xml:space="preserve"> </v>
      </c>
      <c r="C22" s="86">
        <f>IFERROR(C21/C20, " ")</f>
        <v>0.2</v>
      </c>
      <c r="D22" s="86">
        <f>IFERROR(D21/D20, " ")</f>
        <v>1</v>
      </c>
    </row>
    <row r="23" spans="1:25" s="12" customFormat="1" ht="43.5" x14ac:dyDescent="0.35">
      <c r="A23" s="45" t="s">
        <v>361</v>
      </c>
      <c r="B23" s="12">
        <f>COUNTIF(B17:B19,"&gt;=1")</f>
        <v>0</v>
      </c>
      <c r="C23" s="12">
        <f>COUNTIF(C17:C19,"&gt;=1")</f>
        <v>1</v>
      </c>
      <c r="D23" s="12">
        <f>COUNTIF(D17:D19,"&gt;=1")</f>
        <v>1</v>
      </c>
    </row>
    <row r="24" spans="1:25" s="12" customFormat="1" ht="203" x14ac:dyDescent="0.35">
      <c r="A24" s="12" t="s">
        <v>362</v>
      </c>
      <c r="B24" s="86">
        <f>E20/2</f>
        <v>1</v>
      </c>
      <c r="C24" s="12" t="s">
        <v>422</v>
      </c>
    </row>
    <row r="25" spans="1:25" s="12" customFormat="1" ht="43.5" x14ac:dyDescent="0.35">
      <c r="A25" s="12" t="s">
        <v>364</v>
      </c>
      <c r="B25" s="86">
        <f>AVERAGE(C22:D22)</f>
        <v>0.6</v>
      </c>
    </row>
    <row r="26" spans="1:25" x14ac:dyDescent="0.35">
      <c r="A26">
        <f>SUM(B17:D19)</f>
        <v>2</v>
      </c>
      <c r="B26" t="s">
        <v>365</v>
      </c>
    </row>
    <row r="31" spans="1:25" ht="43.5" x14ac:dyDescent="0.35">
      <c r="A31" s="12" t="s">
        <v>366</v>
      </c>
      <c r="B31" s="12"/>
      <c r="C31" s="12"/>
      <c r="D31" s="12"/>
      <c r="E31" s="12"/>
      <c r="F31" s="84">
        <f t="shared" ref="F31:N31" si="9" xml:space="preserve"> AVERAGEIF($Q2:$Q7, "=Fail", F2:F7)</f>
        <v>2.4812500000000002</v>
      </c>
      <c r="G31" s="84">
        <f t="shared" si="9"/>
        <v>0.66974999999999996</v>
      </c>
      <c r="H31" s="84">
        <f t="shared" si="9"/>
        <v>49.4</v>
      </c>
      <c r="I31" s="84">
        <f t="shared" si="9"/>
        <v>60</v>
      </c>
      <c r="J31" s="85">
        <f t="shared" si="9"/>
        <v>4</v>
      </c>
      <c r="K31" s="84">
        <f t="shared" si="9"/>
        <v>37.799999999999997</v>
      </c>
      <c r="L31" s="84">
        <f t="shared" si="9"/>
        <v>20.2</v>
      </c>
      <c r="M31" s="84">
        <f t="shared" si="9"/>
        <v>2.5331999999999999</v>
      </c>
      <c r="N31" s="84">
        <f t="shared" si="9"/>
        <v>0.8</v>
      </c>
      <c r="O31" s="84"/>
      <c r="P31" s="84"/>
      <c r="Q31" s="84"/>
      <c r="R31" s="84"/>
      <c r="S31" s="84"/>
      <c r="T31" s="84"/>
      <c r="U31" s="84"/>
      <c r="V31" s="84">
        <f xml:space="preserve"> AVERAGEIF($Q2:$Q7, "=Fail", V2:V7)</f>
        <v>0.32500000000000001</v>
      </c>
      <c r="W31" s="84"/>
      <c r="X31" s="84"/>
      <c r="Y31" s="84"/>
    </row>
    <row r="32" spans="1:25" ht="43.5" x14ac:dyDescent="0.35">
      <c r="A32" s="12" t="s">
        <v>367</v>
      </c>
      <c r="F32" s="25">
        <f t="shared" ref="F32:N32" si="10" xml:space="preserve"> AVERAGEIF($Q2:$Q7, "=Pass", F2:F7)</f>
        <v>1.6850000000000001</v>
      </c>
      <c r="G32" s="25">
        <f t="shared" si="10"/>
        <v>0.60799999999999998</v>
      </c>
      <c r="H32" s="25">
        <f t="shared" si="10"/>
        <v>51.683333333333351</v>
      </c>
      <c r="I32" s="25">
        <f t="shared" si="10"/>
        <v>72.949999999999989</v>
      </c>
      <c r="J32" s="46">
        <f t="shared" si="10"/>
        <v>4.5</v>
      </c>
      <c r="K32" s="25">
        <f t="shared" si="10"/>
        <v>49.38</v>
      </c>
      <c r="L32" s="25">
        <f t="shared" si="10"/>
        <v>23.95</v>
      </c>
      <c r="M32" s="25">
        <f t="shared" si="10"/>
        <v>2.6998499999999996</v>
      </c>
      <c r="N32" s="25">
        <f t="shared" si="10"/>
        <v>0.86250000000000004</v>
      </c>
      <c r="O32" s="25"/>
      <c r="P32" s="25"/>
      <c r="Q32" s="25"/>
      <c r="R32" s="25"/>
      <c r="S32" s="25"/>
      <c r="T32" s="25"/>
      <c r="U32" s="25"/>
      <c r="V32" s="25">
        <f>V31</f>
        <v>0.32500000000000001</v>
      </c>
      <c r="W32" s="25"/>
      <c r="X32" s="25"/>
      <c r="Y32" s="25"/>
    </row>
    <row r="34" spans="1:7" ht="29" x14ac:dyDescent="0.35">
      <c r="A34" s="12" t="s">
        <v>423</v>
      </c>
    </row>
    <row r="39" spans="1:7" x14ac:dyDescent="0.35">
      <c r="A39" t="s">
        <v>424</v>
      </c>
      <c r="B39" t="s">
        <v>425</v>
      </c>
    </row>
    <row r="41" spans="1:7" x14ac:dyDescent="0.35">
      <c r="A41" t="s">
        <v>426</v>
      </c>
    </row>
    <row r="42" spans="1:7" x14ac:dyDescent="0.35">
      <c r="A42" s="12" t="s">
        <v>427</v>
      </c>
      <c r="B42" t="s">
        <v>428</v>
      </c>
      <c r="C42" t="s">
        <v>429</v>
      </c>
    </row>
    <row r="43" spans="1:7" ht="43.5" x14ac:dyDescent="0.35">
      <c r="A43" s="124" t="s">
        <v>430</v>
      </c>
      <c r="B43" s="125" t="s">
        <v>431</v>
      </c>
      <c r="C43" t="s">
        <v>432</v>
      </c>
    </row>
    <row r="44" spans="1:7" x14ac:dyDescent="0.35">
      <c r="A44" t="s">
        <v>433</v>
      </c>
    </row>
    <row r="45" spans="1:7" x14ac:dyDescent="0.35">
      <c r="A45" t="s">
        <v>434</v>
      </c>
      <c r="G45" t="s">
        <v>435</v>
      </c>
    </row>
    <row r="46" spans="1:7" x14ac:dyDescent="0.35">
      <c r="A46" t="s">
        <v>436</v>
      </c>
    </row>
    <row r="47" spans="1:7" x14ac:dyDescent="0.35">
      <c r="A47" s="126" t="s">
        <v>437</v>
      </c>
      <c r="B47" t="s">
        <v>438</v>
      </c>
    </row>
  </sheetData>
  <customSheetViews>
    <customSheetView guid="{D3B96324-F501-48FE-9FB5-D5CAA0435798}" scale="90" showAutoFilter="1">
      <pane ySplit="1" topLeftCell="A38" activePane="bottomLeft" state="frozen"/>
      <selection pane="bottomLeft" activeCell="S159" sqref="S159"/>
      <pageMargins left="0" right="0" top="0" bottom="0" header="0" footer="0"/>
      <pageSetup orientation="portrait" horizontalDpi="300" verticalDpi="300" r:id="rId1"/>
      <autoFilter ref="B1:U17" xr:uid="{27172BA1-70DC-4D5B-9697-0462BA1E105A}"/>
    </customSheetView>
    <customSheetView guid="{DCECD019-2153-4FC6-B239-22C55039ABFE}" scale="90" showAutoFilter="1">
      <pane ySplit="1" topLeftCell="A38" activePane="bottomLeft" state="frozen"/>
      <selection pane="bottomLeft" activeCell="S159" sqref="S159"/>
      <pageMargins left="0" right="0" top="0" bottom="0" header="0" footer="0"/>
      <pageSetup orientation="portrait" horizontalDpi="300" verticalDpi="300" r:id="rId2"/>
      <autoFilter ref="B1:U17" xr:uid="{C131330C-3D86-4188-B361-0DA4E584C815}"/>
    </customSheetView>
  </customSheetViews>
  <mergeCells count="2">
    <mergeCell ref="B15:D15"/>
    <mergeCell ref="A10:N10"/>
  </mergeCells>
  <conditionalFormatting sqref="B17:D19">
    <cfRule type="cellIs" dxfId="0" priority="1" operator="greaterThanOrEqual">
      <formula>1</formula>
    </cfRule>
  </conditionalFormatting>
  <hyperlinks>
    <hyperlink ref="A47" r:id="rId3" xr:uid="{F1876950-4821-4044-9BD5-1643026A6B0B}"/>
  </hyperlinks>
  <pageMargins left="0.7" right="0.7" top="0.75" bottom="0.75" header="0.3" footer="0.3"/>
  <pageSetup orientation="portrait" horizontalDpi="300" verticalDpi="300"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6783C-9DD8-46FE-92BE-BB709DD5013A}">
  <sheetPr codeName="Sheet15">
    <tabColor rgb="FF00B0F0"/>
  </sheetPr>
  <dimension ref="A1:U32"/>
  <sheetViews>
    <sheetView zoomScale="85" zoomScaleNormal="85" workbookViewId="0"/>
  </sheetViews>
  <sheetFormatPr defaultColWidth="9.1796875" defaultRowHeight="14.5" x14ac:dyDescent="0.35"/>
  <cols>
    <col min="1" max="1" width="9.1796875" style="9"/>
    <col min="2" max="2" width="55.54296875" style="9" customWidth="1"/>
    <col min="3" max="3" width="30.1796875" style="9" customWidth="1"/>
    <col min="4" max="4" width="21.81640625" style="9" customWidth="1"/>
    <col min="5" max="5" width="23.1796875" style="9" customWidth="1"/>
    <col min="6" max="6" width="21" style="9" customWidth="1"/>
    <col min="7" max="7" width="23.453125" style="9" customWidth="1"/>
    <col min="8" max="16384" width="9.1796875" style="9"/>
  </cols>
  <sheetData>
    <row r="1" spans="1:21" x14ac:dyDescent="0.35">
      <c r="A1" s="1"/>
      <c r="B1" s="1"/>
      <c r="C1" s="1"/>
      <c r="D1" s="1"/>
      <c r="E1" s="1"/>
      <c r="F1" s="1"/>
      <c r="G1" s="1"/>
      <c r="H1" s="1"/>
      <c r="I1" s="1"/>
      <c r="J1" s="1"/>
      <c r="K1" s="1"/>
      <c r="L1" s="1"/>
      <c r="M1" s="1"/>
      <c r="N1" s="1"/>
      <c r="O1" s="1"/>
      <c r="P1" s="1"/>
      <c r="Q1" s="1"/>
      <c r="R1" s="1"/>
      <c r="S1" s="1"/>
      <c r="T1" s="1"/>
      <c r="U1" s="1"/>
    </row>
    <row r="2" spans="1:21" x14ac:dyDescent="0.35">
      <c r="A2" s="1"/>
      <c r="B2" s="3" t="s">
        <v>445</v>
      </c>
      <c r="C2" s="1"/>
      <c r="D2" s="1"/>
      <c r="E2" s="1"/>
      <c r="F2" s="1"/>
      <c r="G2" s="1"/>
      <c r="H2" s="1"/>
      <c r="I2" s="1"/>
      <c r="J2" s="1"/>
      <c r="K2" s="1"/>
      <c r="L2" s="1"/>
      <c r="M2" s="1"/>
      <c r="N2" s="1"/>
      <c r="O2" s="1"/>
      <c r="P2" s="1"/>
      <c r="Q2" s="1"/>
      <c r="R2" s="1"/>
      <c r="S2" s="1"/>
      <c r="T2" s="1"/>
      <c r="U2" s="1"/>
    </row>
    <row r="3" spans="1:21" x14ac:dyDescent="0.35">
      <c r="A3" s="1"/>
      <c r="B3" s="1"/>
      <c r="C3" s="1"/>
      <c r="D3" s="1"/>
      <c r="E3" s="1"/>
      <c r="F3" s="1"/>
      <c r="G3" s="1"/>
      <c r="H3" s="1"/>
      <c r="I3" s="1"/>
      <c r="J3" s="1"/>
      <c r="K3" s="1"/>
      <c r="L3" s="1"/>
      <c r="M3" s="1"/>
      <c r="N3" s="1"/>
      <c r="O3" s="1"/>
      <c r="P3" s="1"/>
      <c r="Q3" s="1"/>
      <c r="R3" s="1"/>
      <c r="S3" s="1"/>
      <c r="T3" s="1"/>
      <c r="U3" s="1"/>
    </row>
    <row r="4" spans="1:21" ht="62" x14ac:dyDescent="0.35">
      <c r="A4" s="1"/>
      <c r="B4" s="107" t="s">
        <v>0</v>
      </c>
      <c r="C4" s="107" t="s">
        <v>1</v>
      </c>
      <c r="D4" s="107" t="s">
        <v>2</v>
      </c>
      <c r="E4" s="107" t="s">
        <v>3</v>
      </c>
      <c r="F4" s="107" t="s">
        <v>4</v>
      </c>
      <c r="G4" s="107" t="s">
        <v>5</v>
      </c>
      <c r="H4" s="1"/>
      <c r="I4" s="1"/>
      <c r="J4" s="1"/>
      <c r="K4" s="1"/>
      <c r="L4" s="1"/>
      <c r="M4" s="1"/>
      <c r="N4" s="1"/>
      <c r="O4" s="1"/>
      <c r="P4" s="1"/>
      <c r="Q4" s="1"/>
      <c r="R4" s="1"/>
      <c r="S4" s="1"/>
      <c r="T4" s="1"/>
      <c r="U4" s="1"/>
    </row>
    <row r="5" spans="1:21" ht="15.5" x14ac:dyDescent="0.35">
      <c r="A5" s="1"/>
      <c r="B5" s="134" t="s">
        <v>17</v>
      </c>
      <c r="C5" s="109" t="s">
        <v>6</v>
      </c>
      <c r="D5" s="110" t="s">
        <v>7</v>
      </c>
      <c r="E5" s="109" t="s">
        <v>8</v>
      </c>
      <c r="F5" s="109">
        <v>55</v>
      </c>
      <c r="G5" s="109">
        <v>78</v>
      </c>
      <c r="H5" s="1"/>
      <c r="I5" s="1"/>
      <c r="J5" s="1"/>
      <c r="K5" s="1"/>
      <c r="L5" s="1"/>
      <c r="M5" s="1"/>
      <c r="N5" s="1"/>
      <c r="O5" s="1"/>
      <c r="P5" s="1"/>
      <c r="Q5" s="1"/>
      <c r="R5" s="1"/>
      <c r="S5" s="1"/>
      <c r="T5" s="1"/>
      <c r="U5" s="1"/>
    </row>
    <row r="6" spans="1:21" ht="31" x14ac:dyDescent="0.35">
      <c r="A6" s="1"/>
      <c r="B6" s="134" t="s">
        <v>447</v>
      </c>
      <c r="C6" s="111" t="s">
        <v>6</v>
      </c>
      <c r="D6" s="109" t="s">
        <v>9</v>
      </c>
      <c r="E6" s="109" t="s">
        <v>10</v>
      </c>
      <c r="F6" s="109">
        <v>51</v>
      </c>
      <c r="G6" s="112">
        <v>70</v>
      </c>
      <c r="H6" s="1"/>
      <c r="I6" s="1"/>
      <c r="J6" s="1"/>
      <c r="K6" s="1"/>
      <c r="L6" s="1"/>
      <c r="M6" s="1"/>
      <c r="N6" s="1"/>
      <c r="O6" s="1"/>
      <c r="P6" s="1"/>
      <c r="Q6" s="1"/>
      <c r="R6" s="1"/>
      <c r="S6" s="1"/>
      <c r="T6" s="1"/>
      <c r="U6" s="1"/>
    </row>
    <row r="7" spans="1:21" ht="15.5" x14ac:dyDescent="0.35">
      <c r="A7" s="1"/>
      <c r="B7" s="108" t="s">
        <v>17</v>
      </c>
      <c r="C7" s="109" t="s">
        <v>11</v>
      </c>
      <c r="D7" s="109" t="s">
        <v>12</v>
      </c>
      <c r="E7" s="109" t="s">
        <v>13</v>
      </c>
      <c r="F7" s="109">
        <v>41</v>
      </c>
      <c r="G7" s="109">
        <v>57</v>
      </c>
      <c r="H7" s="1"/>
      <c r="I7" s="1"/>
      <c r="J7" s="1"/>
      <c r="K7" s="1"/>
      <c r="L7" s="1"/>
      <c r="M7" s="1"/>
      <c r="N7" s="1"/>
      <c r="O7" s="1"/>
      <c r="P7" s="1"/>
      <c r="Q7" s="1"/>
      <c r="R7" s="1"/>
      <c r="S7" s="1"/>
      <c r="T7" s="1"/>
      <c r="U7" s="1"/>
    </row>
    <row r="8" spans="1:21" ht="15.5" x14ac:dyDescent="0.35">
      <c r="A8" s="1"/>
      <c r="B8" s="108" t="s">
        <v>19</v>
      </c>
      <c r="C8" s="109" t="s">
        <v>6</v>
      </c>
      <c r="D8" s="216"/>
      <c r="E8" s="109">
        <v>1.4</v>
      </c>
      <c r="F8" s="216"/>
      <c r="G8" s="216">
        <v>76</v>
      </c>
      <c r="H8" s="1"/>
      <c r="I8" s="1"/>
      <c r="J8" s="1"/>
      <c r="K8" s="1"/>
      <c r="L8" s="1"/>
      <c r="M8" s="1"/>
      <c r="N8" s="1"/>
      <c r="O8" s="1"/>
      <c r="P8" s="1"/>
      <c r="Q8" s="1"/>
      <c r="R8" s="1"/>
      <c r="S8" s="1"/>
      <c r="T8" s="1"/>
      <c r="U8" s="1"/>
    </row>
    <row r="9" spans="1:21" ht="15.5" x14ac:dyDescent="0.35">
      <c r="A9" s="1"/>
      <c r="B9" s="108" t="s">
        <v>81</v>
      </c>
      <c r="C9" s="109" t="s">
        <v>6</v>
      </c>
      <c r="D9" s="217"/>
      <c r="E9" s="219">
        <v>1</v>
      </c>
      <c r="F9" s="217"/>
      <c r="G9" s="218"/>
      <c r="H9" s="1"/>
      <c r="I9" s="1"/>
      <c r="J9" s="1"/>
      <c r="K9" s="1"/>
      <c r="L9" s="1"/>
      <c r="M9" s="1"/>
      <c r="N9" s="1"/>
      <c r="O9" s="1"/>
      <c r="P9" s="1"/>
      <c r="Q9" s="1"/>
      <c r="R9" s="1"/>
      <c r="S9" s="1"/>
      <c r="T9" s="1"/>
      <c r="U9" s="1"/>
    </row>
    <row r="10" spans="1:21" ht="15.5" x14ac:dyDescent="0.35">
      <c r="A10" s="1"/>
      <c r="B10" s="108" t="s">
        <v>21</v>
      </c>
      <c r="C10" s="109" t="s">
        <v>6</v>
      </c>
      <c r="D10" s="217"/>
      <c r="E10" s="220"/>
      <c r="F10" s="217"/>
      <c r="G10" s="109">
        <v>71</v>
      </c>
      <c r="H10" s="1"/>
      <c r="I10" s="1"/>
      <c r="J10" s="1"/>
      <c r="K10" s="1"/>
      <c r="L10" s="1"/>
      <c r="M10" s="1"/>
      <c r="N10" s="1"/>
      <c r="O10" s="1"/>
      <c r="P10" s="1"/>
      <c r="Q10" s="1"/>
      <c r="R10" s="1"/>
      <c r="S10" s="1"/>
      <c r="T10" s="1"/>
      <c r="U10" s="1"/>
    </row>
    <row r="11" spans="1:21" ht="15.5" x14ac:dyDescent="0.35">
      <c r="A11" s="1"/>
      <c r="B11" s="108" t="s">
        <v>22</v>
      </c>
      <c r="C11" s="109" t="s">
        <v>11</v>
      </c>
      <c r="D11" s="217"/>
      <c r="E11" s="113">
        <v>9500</v>
      </c>
      <c r="F11" s="217"/>
      <c r="G11" s="109">
        <v>49</v>
      </c>
      <c r="H11" s="1"/>
      <c r="I11" s="1"/>
      <c r="J11" s="1"/>
      <c r="K11" s="1"/>
      <c r="L11" s="1"/>
      <c r="M11" s="1"/>
      <c r="N11" s="1"/>
      <c r="O11" s="1"/>
      <c r="P11" s="1"/>
      <c r="Q11" s="1"/>
      <c r="R11" s="1"/>
      <c r="S11" s="1"/>
      <c r="T11" s="1"/>
      <c r="U11" s="1"/>
    </row>
    <row r="12" spans="1:21" ht="15.5" x14ac:dyDescent="0.35">
      <c r="A12" s="1"/>
      <c r="B12" s="108" t="s">
        <v>23</v>
      </c>
      <c r="C12" s="109" t="s">
        <v>11</v>
      </c>
      <c r="D12" s="217"/>
      <c r="E12" s="114">
        <v>25000</v>
      </c>
      <c r="F12" s="217"/>
      <c r="G12" s="109">
        <v>48</v>
      </c>
      <c r="H12" s="1"/>
      <c r="I12" s="1"/>
      <c r="J12" s="1"/>
      <c r="K12" s="1"/>
      <c r="L12" s="1"/>
      <c r="M12" s="1"/>
      <c r="N12" s="1"/>
      <c r="O12" s="1"/>
      <c r="P12" s="1"/>
      <c r="Q12" s="1"/>
      <c r="R12" s="1"/>
      <c r="S12" s="1"/>
      <c r="T12" s="1"/>
      <c r="U12" s="1"/>
    </row>
    <row r="13" spans="1:21" ht="15.5" x14ac:dyDescent="0.35">
      <c r="A13" s="1"/>
      <c r="B13" s="108" t="s">
        <v>24</v>
      </c>
      <c r="C13" s="109" t="s">
        <v>11</v>
      </c>
      <c r="D13" s="218"/>
      <c r="E13" s="113">
        <v>30000</v>
      </c>
      <c r="F13" s="218"/>
      <c r="G13" s="109">
        <v>52</v>
      </c>
      <c r="H13" s="1"/>
      <c r="I13" s="1"/>
      <c r="J13" s="1"/>
      <c r="K13" s="1"/>
      <c r="L13" s="1"/>
      <c r="M13" s="1"/>
      <c r="N13" s="1"/>
      <c r="O13" s="1"/>
      <c r="P13" s="1"/>
      <c r="Q13" s="1"/>
      <c r="R13" s="1"/>
      <c r="S13" s="1"/>
      <c r="T13" s="1"/>
      <c r="U13" s="1"/>
    </row>
    <row r="14" spans="1:21" ht="15.5" x14ac:dyDescent="0.35">
      <c r="A14" s="1"/>
      <c r="B14" s="107" t="s">
        <v>82</v>
      </c>
      <c r="C14" s="107"/>
      <c r="D14" s="1"/>
      <c r="E14" s="1"/>
      <c r="F14" s="1"/>
      <c r="G14" s="1"/>
      <c r="H14" s="1"/>
      <c r="I14" s="1"/>
      <c r="J14" s="1"/>
      <c r="K14" s="1"/>
      <c r="L14" s="1"/>
      <c r="M14" s="1"/>
      <c r="N14" s="1"/>
      <c r="O14" s="1"/>
      <c r="P14" s="1"/>
      <c r="Q14" s="1"/>
      <c r="R14" s="1"/>
      <c r="S14" s="1"/>
      <c r="T14" s="1"/>
      <c r="U14" s="1"/>
    </row>
    <row r="15" spans="1:21" s="148" customFormat="1" ht="41.5" customHeight="1" x14ac:dyDescent="0.35">
      <c r="A15" s="147"/>
      <c r="B15" s="146" t="s">
        <v>14</v>
      </c>
      <c r="C15" s="146" t="s">
        <v>83</v>
      </c>
      <c r="D15" s="147"/>
      <c r="E15" s="147"/>
      <c r="F15" s="147"/>
      <c r="G15" s="147"/>
      <c r="H15" s="147"/>
      <c r="I15" s="147"/>
      <c r="J15" s="147"/>
      <c r="K15" s="147"/>
      <c r="L15" s="147"/>
      <c r="M15" s="147"/>
      <c r="N15" s="147"/>
      <c r="O15" s="147"/>
      <c r="P15" s="147"/>
      <c r="Q15" s="147"/>
      <c r="R15" s="147"/>
      <c r="S15" s="147"/>
      <c r="T15" s="147"/>
      <c r="U15" s="147"/>
    </row>
    <row r="16" spans="1:21" ht="15.5" x14ac:dyDescent="0.35">
      <c r="A16" s="1"/>
      <c r="B16" s="134" t="s">
        <v>15</v>
      </c>
      <c r="C16" s="134" t="s">
        <v>443</v>
      </c>
      <c r="D16" s="1"/>
      <c r="E16" s="1"/>
      <c r="F16" s="1"/>
      <c r="G16" s="1"/>
      <c r="H16" s="1"/>
      <c r="I16" s="1"/>
      <c r="J16" s="1"/>
      <c r="K16" s="1"/>
      <c r="L16" s="1"/>
      <c r="M16" s="1"/>
      <c r="N16" s="1"/>
      <c r="O16" s="1"/>
      <c r="P16" s="1"/>
      <c r="Q16" s="1"/>
      <c r="R16" s="1"/>
      <c r="S16" s="1"/>
      <c r="T16" s="1"/>
      <c r="U16" s="1"/>
    </row>
    <row r="17" spans="1:21" ht="15.5" x14ac:dyDescent="0.35">
      <c r="A17" s="1"/>
      <c r="B17" s="108" t="s">
        <v>16</v>
      </c>
      <c r="C17" s="134" t="s">
        <v>444</v>
      </c>
      <c r="D17" s="1"/>
      <c r="E17" s="1"/>
      <c r="F17" s="1"/>
      <c r="G17" s="1"/>
      <c r="H17" s="1"/>
      <c r="I17" s="1"/>
      <c r="J17" s="1"/>
      <c r="K17" s="1"/>
      <c r="L17" s="1"/>
      <c r="M17" s="1"/>
      <c r="N17" s="1"/>
      <c r="O17" s="1"/>
      <c r="P17" s="1"/>
      <c r="Q17" s="1"/>
      <c r="R17" s="1"/>
      <c r="S17" s="1"/>
      <c r="T17" s="1"/>
      <c r="U17" s="1"/>
    </row>
    <row r="18" spans="1:21" x14ac:dyDescent="0.35">
      <c r="A18" s="1"/>
      <c r="B18" s="164"/>
      <c r="D18" s="1"/>
      <c r="E18" s="1"/>
      <c r="F18" s="1"/>
      <c r="G18" s="1"/>
      <c r="H18" s="1"/>
      <c r="I18" s="1"/>
      <c r="J18" s="1"/>
      <c r="K18" s="1"/>
      <c r="L18" s="1"/>
      <c r="M18" s="1"/>
      <c r="N18" s="1"/>
      <c r="O18" s="1"/>
      <c r="P18" s="1"/>
      <c r="Q18" s="1"/>
      <c r="R18" s="1"/>
      <c r="S18" s="1"/>
      <c r="T18" s="1"/>
      <c r="U18" s="1"/>
    </row>
    <row r="19" spans="1:21" x14ac:dyDescent="0.35">
      <c r="A19" s="1"/>
      <c r="B19" s="1"/>
      <c r="C19" s="1"/>
      <c r="D19" s="1"/>
      <c r="E19" s="1"/>
      <c r="F19" s="1"/>
      <c r="G19" s="1"/>
      <c r="H19" s="1"/>
      <c r="I19" s="1"/>
      <c r="J19" s="1"/>
      <c r="K19" s="1"/>
      <c r="L19" s="1"/>
      <c r="M19" s="1"/>
      <c r="N19" s="1"/>
      <c r="O19" s="1"/>
      <c r="P19" s="1"/>
      <c r="Q19" s="1"/>
      <c r="R19" s="1"/>
      <c r="S19" s="1"/>
      <c r="T19" s="1"/>
      <c r="U19" s="1"/>
    </row>
    <row r="20" spans="1:21" x14ac:dyDescent="0.35">
      <c r="A20" s="1"/>
      <c r="B20" s="1"/>
      <c r="C20" s="1"/>
      <c r="D20" s="1"/>
      <c r="E20" s="1"/>
      <c r="F20" s="1"/>
      <c r="G20" s="1"/>
      <c r="H20" s="1"/>
      <c r="I20" s="1"/>
      <c r="J20" s="1"/>
      <c r="K20" s="1"/>
      <c r="L20" s="1"/>
      <c r="M20" s="1"/>
      <c r="N20" s="1"/>
      <c r="O20" s="1"/>
      <c r="P20" s="1"/>
      <c r="Q20" s="1"/>
      <c r="R20" s="1"/>
      <c r="S20" s="1"/>
      <c r="T20" s="1"/>
      <c r="U20" s="1"/>
    </row>
    <row r="21" spans="1:21" x14ac:dyDescent="0.35">
      <c r="A21" s="1"/>
      <c r="B21" s="1"/>
      <c r="C21" s="1"/>
      <c r="D21" s="1"/>
      <c r="E21" s="1"/>
      <c r="F21" s="1"/>
      <c r="G21" s="1"/>
      <c r="H21" s="1"/>
      <c r="I21" s="1"/>
      <c r="J21" s="1"/>
      <c r="K21" s="1"/>
      <c r="L21" s="1"/>
      <c r="M21" s="1"/>
      <c r="N21" s="1"/>
      <c r="O21" s="1"/>
      <c r="P21" s="1"/>
      <c r="Q21" s="1"/>
      <c r="R21" s="1"/>
      <c r="S21" s="1"/>
      <c r="T21" s="1"/>
      <c r="U21" s="1"/>
    </row>
    <row r="22" spans="1:21" x14ac:dyDescent="0.35">
      <c r="A22" s="1"/>
      <c r="B22" s="1"/>
      <c r="C22" s="1"/>
      <c r="D22" s="1"/>
      <c r="E22" s="1"/>
      <c r="F22" s="1"/>
      <c r="G22" s="1"/>
      <c r="H22" s="1"/>
      <c r="I22" s="1"/>
      <c r="J22" s="1"/>
      <c r="K22" s="1"/>
      <c r="L22" s="1"/>
      <c r="M22" s="1"/>
      <c r="N22" s="1"/>
      <c r="O22" s="1"/>
      <c r="P22" s="1"/>
      <c r="Q22" s="1"/>
      <c r="R22" s="1"/>
      <c r="S22" s="1"/>
      <c r="T22" s="1"/>
      <c r="U22" s="1"/>
    </row>
    <row r="23" spans="1:21" x14ac:dyDescent="0.35">
      <c r="A23" s="1"/>
      <c r="B23" s="1"/>
      <c r="C23" s="1"/>
      <c r="D23" s="1"/>
      <c r="E23" s="1"/>
      <c r="F23" s="1"/>
      <c r="G23" s="1"/>
      <c r="H23" s="1"/>
      <c r="I23" s="1"/>
      <c r="J23" s="1"/>
      <c r="K23" s="1"/>
      <c r="L23" s="1"/>
      <c r="M23" s="1"/>
      <c r="N23" s="1"/>
      <c r="O23" s="1"/>
      <c r="P23" s="1"/>
      <c r="Q23" s="1"/>
      <c r="R23" s="1"/>
      <c r="S23" s="1"/>
      <c r="T23" s="1"/>
      <c r="U23" s="1"/>
    </row>
    <row r="24" spans="1:21" x14ac:dyDescent="0.35">
      <c r="A24" s="1"/>
      <c r="B24" s="1"/>
      <c r="C24" s="1"/>
      <c r="D24" s="1"/>
      <c r="E24" s="1"/>
      <c r="F24" s="1"/>
      <c r="G24" s="1"/>
      <c r="H24" s="1"/>
      <c r="I24" s="1"/>
      <c r="J24" s="1"/>
      <c r="K24" s="1"/>
      <c r="L24" s="1"/>
      <c r="M24" s="1"/>
      <c r="N24" s="1"/>
      <c r="O24" s="1"/>
      <c r="P24" s="1"/>
      <c r="Q24" s="1"/>
      <c r="R24" s="1"/>
      <c r="S24" s="1"/>
      <c r="T24" s="1"/>
      <c r="U24" s="1"/>
    </row>
    <row r="25" spans="1:21" x14ac:dyDescent="0.35">
      <c r="A25" s="1"/>
      <c r="B25" s="1"/>
      <c r="C25" s="1"/>
      <c r="D25" s="1"/>
      <c r="E25" s="1"/>
      <c r="F25" s="1"/>
      <c r="G25" s="1"/>
      <c r="H25" s="1"/>
      <c r="I25" s="1"/>
      <c r="J25" s="1"/>
      <c r="K25" s="1"/>
      <c r="L25" s="1"/>
      <c r="M25" s="1"/>
      <c r="N25" s="1"/>
      <c r="O25" s="1"/>
      <c r="P25" s="1"/>
      <c r="Q25" s="1"/>
      <c r="R25" s="1"/>
      <c r="S25" s="1"/>
      <c r="T25" s="1"/>
      <c r="U25" s="1"/>
    </row>
    <row r="26" spans="1:21" x14ac:dyDescent="0.35">
      <c r="A26" s="1"/>
      <c r="B26" s="1"/>
      <c r="C26" s="1"/>
      <c r="D26" s="1"/>
      <c r="E26" s="1"/>
      <c r="F26" s="1"/>
      <c r="G26" s="1"/>
      <c r="H26" s="1"/>
      <c r="I26" s="1"/>
      <c r="J26" s="1"/>
      <c r="K26" s="1"/>
      <c r="L26" s="1"/>
      <c r="M26" s="1"/>
      <c r="N26" s="1"/>
      <c r="O26" s="1"/>
      <c r="P26" s="1"/>
      <c r="Q26" s="1"/>
      <c r="R26" s="1"/>
      <c r="S26" s="1"/>
      <c r="T26" s="1"/>
      <c r="U26" s="1"/>
    </row>
    <row r="27" spans="1:21" x14ac:dyDescent="0.35">
      <c r="A27" s="1"/>
      <c r="B27" s="1"/>
      <c r="C27" s="1"/>
      <c r="D27" s="1"/>
      <c r="E27" s="1"/>
      <c r="F27" s="1"/>
      <c r="G27" s="1"/>
      <c r="H27" s="1"/>
      <c r="I27" s="1"/>
      <c r="J27" s="1"/>
      <c r="K27" s="1"/>
      <c r="L27" s="1"/>
      <c r="M27" s="1"/>
      <c r="N27" s="1"/>
      <c r="O27" s="1"/>
      <c r="P27" s="1"/>
      <c r="Q27" s="1"/>
      <c r="R27" s="1"/>
      <c r="S27" s="1"/>
      <c r="T27" s="1"/>
      <c r="U27" s="1"/>
    </row>
    <row r="28" spans="1:21" x14ac:dyDescent="0.35">
      <c r="A28" s="1"/>
      <c r="B28" s="1"/>
      <c r="C28" s="1"/>
      <c r="D28" s="1"/>
      <c r="E28" s="1"/>
      <c r="F28" s="1"/>
      <c r="G28" s="1"/>
      <c r="H28" s="1"/>
      <c r="I28" s="1"/>
      <c r="J28" s="1"/>
      <c r="K28" s="1"/>
      <c r="L28" s="1"/>
      <c r="M28" s="1"/>
      <c r="N28" s="1"/>
      <c r="O28" s="1"/>
      <c r="P28" s="1"/>
      <c r="Q28" s="1"/>
      <c r="R28" s="1"/>
      <c r="S28" s="1"/>
      <c r="T28" s="1"/>
      <c r="U28" s="1"/>
    </row>
    <row r="29" spans="1:21" x14ac:dyDescent="0.35">
      <c r="A29" s="1"/>
      <c r="B29" s="1"/>
      <c r="C29" s="1"/>
      <c r="D29" s="1"/>
      <c r="E29" s="1"/>
      <c r="F29" s="1"/>
      <c r="G29" s="1"/>
      <c r="H29" s="1"/>
      <c r="I29" s="1"/>
      <c r="J29" s="1"/>
      <c r="K29" s="1"/>
      <c r="L29" s="1"/>
      <c r="M29" s="1"/>
      <c r="N29" s="1"/>
      <c r="O29" s="1"/>
      <c r="P29" s="1"/>
      <c r="Q29" s="1"/>
      <c r="R29" s="1"/>
      <c r="S29" s="1"/>
      <c r="T29" s="1"/>
      <c r="U29" s="1"/>
    </row>
    <row r="30" spans="1:21" x14ac:dyDescent="0.35">
      <c r="A30" s="1"/>
      <c r="B30" s="1"/>
      <c r="C30" s="1"/>
      <c r="D30" s="1"/>
      <c r="E30" s="1"/>
      <c r="F30" s="1"/>
      <c r="G30" s="1"/>
      <c r="H30" s="1"/>
      <c r="I30" s="1"/>
      <c r="J30" s="1"/>
      <c r="K30" s="1"/>
      <c r="L30" s="1"/>
      <c r="M30" s="1"/>
      <c r="N30" s="1"/>
      <c r="O30" s="1"/>
      <c r="P30" s="1"/>
      <c r="Q30" s="1"/>
      <c r="R30" s="1"/>
      <c r="S30" s="1"/>
      <c r="T30" s="1"/>
      <c r="U30" s="1"/>
    </row>
    <row r="31" spans="1:21" x14ac:dyDescent="0.35">
      <c r="A31" s="1"/>
      <c r="B31" s="1"/>
      <c r="C31" s="1"/>
      <c r="D31" s="1"/>
      <c r="E31" s="1"/>
      <c r="F31" s="1"/>
      <c r="G31" s="1"/>
      <c r="H31" s="1"/>
      <c r="I31" s="1"/>
      <c r="J31" s="1"/>
      <c r="K31" s="1"/>
      <c r="L31" s="1"/>
      <c r="M31" s="1"/>
      <c r="N31" s="1"/>
      <c r="O31" s="1"/>
      <c r="P31" s="1"/>
      <c r="Q31" s="1"/>
      <c r="R31" s="1"/>
      <c r="S31" s="1"/>
      <c r="T31" s="1"/>
      <c r="U31" s="1"/>
    </row>
    <row r="32" spans="1:21" x14ac:dyDescent="0.35">
      <c r="A32" s="1"/>
      <c r="B32" s="1"/>
      <c r="C32" s="1"/>
      <c r="D32" s="1"/>
      <c r="E32" s="1"/>
      <c r="F32" s="1"/>
      <c r="G32" s="1"/>
      <c r="H32" s="1"/>
      <c r="I32" s="1"/>
      <c r="J32" s="1"/>
      <c r="K32" s="1"/>
      <c r="L32" s="1"/>
      <c r="M32" s="1"/>
      <c r="N32" s="1"/>
      <c r="O32" s="1"/>
      <c r="P32" s="1"/>
      <c r="Q32" s="1"/>
      <c r="R32" s="1"/>
      <c r="S32" s="1"/>
      <c r="T32" s="1"/>
      <c r="U32" s="1"/>
    </row>
  </sheetData>
  <customSheetViews>
    <customSheetView guid="{D3B96324-F501-48FE-9FB5-D5CAA0435798}" scale="85">
      <selection activeCell="K35" sqref="K35"/>
      <pageMargins left="0" right="0" top="0" bottom="0" header="0" footer="0"/>
    </customSheetView>
    <customSheetView guid="{DCECD019-2153-4FC6-B239-22C55039ABFE}" scale="85">
      <selection activeCell="K35" sqref="K35"/>
      <pageMargins left="0" right="0" top="0" bottom="0" header="0" footer="0"/>
    </customSheetView>
  </customSheetViews>
  <mergeCells count="4">
    <mergeCell ref="D8:D13"/>
    <mergeCell ref="F8:F13"/>
    <mergeCell ref="G8:G9"/>
    <mergeCell ref="E9:E10"/>
  </mergeCell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9B509-20D5-4058-BB7A-3C19451C2401}">
  <sheetPr codeName="Sheet16">
    <tabColor rgb="FF00B0F0"/>
  </sheetPr>
  <dimension ref="A1:N48"/>
  <sheetViews>
    <sheetView showGridLines="0" zoomScale="90" zoomScaleNormal="90" workbookViewId="0">
      <selection activeCell="C3" sqref="C3"/>
    </sheetView>
  </sheetViews>
  <sheetFormatPr defaultColWidth="9.1796875" defaultRowHeight="14.5" x14ac:dyDescent="0.35"/>
  <cols>
    <col min="1" max="1" width="3.54296875" style="9" customWidth="1"/>
    <col min="2" max="2" width="4.453125" style="9" customWidth="1"/>
    <col min="3" max="3" width="50.7265625" style="9" bestFit="1" customWidth="1"/>
    <col min="4" max="4" width="12" style="9" customWidth="1"/>
    <col min="5" max="5" width="12.54296875" style="9" customWidth="1"/>
    <col min="6" max="6" width="14.54296875" style="9" customWidth="1"/>
    <col min="7" max="7" width="15.54296875" style="9" customWidth="1"/>
    <col min="8" max="8" width="14.7265625" style="9" customWidth="1"/>
    <col min="9" max="9" width="12.26953125" style="9" customWidth="1"/>
    <col min="10" max="10" width="19.7265625" style="9" customWidth="1"/>
    <col min="11" max="11" width="9.1796875" style="9"/>
    <col min="12" max="12" width="11.54296875" style="9" bestFit="1" customWidth="1"/>
    <col min="13" max="13" width="10.54296875" style="9" bestFit="1" customWidth="1"/>
    <col min="14" max="16384" width="9.1796875" style="9"/>
  </cols>
  <sheetData>
    <row r="1" spans="3:14" ht="26.15" customHeight="1" x14ac:dyDescent="0.35">
      <c r="K1" s="20"/>
    </row>
    <row r="2" spans="3:14" x14ac:dyDescent="0.35">
      <c r="C2" s="7" t="s">
        <v>84</v>
      </c>
      <c r="D2" s="6"/>
      <c r="E2" s="6"/>
      <c r="F2" s="6"/>
      <c r="K2" s="20"/>
    </row>
    <row r="3" spans="3:14" x14ac:dyDescent="0.35">
      <c r="C3" s="2"/>
      <c r="D3" s="225" t="s">
        <v>36</v>
      </c>
      <c r="E3" s="225"/>
      <c r="F3" s="225"/>
      <c r="G3" s="225"/>
      <c r="H3" s="225"/>
      <c r="I3" s="225"/>
      <c r="K3" s="20"/>
    </row>
    <row r="4" spans="3:14" ht="40.5" x14ac:dyDescent="0.35">
      <c r="C4" s="10" t="s">
        <v>28</v>
      </c>
      <c r="D4" s="8" t="s">
        <v>37</v>
      </c>
      <c r="E4" s="8" t="s">
        <v>38</v>
      </c>
      <c r="F4" s="8" t="s">
        <v>39</v>
      </c>
      <c r="G4" s="8" t="s">
        <v>40</v>
      </c>
      <c r="H4" s="8" t="s">
        <v>41</v>
      </c>
      <c r="I4" s="8" t="s">
        <v>42</v>
      </c>
      <c r="K4" s="20"/>
    </row>
    <row r="5" spans="3:14" x14ac:dyDescent="0.35">
      <c r="C5" s="13" t="s">
        <v>29</v>
      </c>
      <c r="D5" s="169">
        <v>9550.6117541574858</v>
      </c>
      <c r="E5" s="169" t="s">
        <v>18</v>
      </c>
      <c r="F5" s="170">
        <v>1012.3748740830353</v>
      </c>
      <c r="G5" s="169">
        <v>14898.95433648568</v>
      </c>
      <c r="H5" s="169">
        <v>40957.834713386015</v>
      </c>
      <c r="I5" s="171">
        <v>369.03009076760804</v>
      </c>
      <c r="K5" s="20"/>
    </row>
    <row r="6" spans="3:14" ht="25" x14ac:dyDescent="0.35">
      <c r="C6" s="133" t="s">
        <v>85</v>
      </c>
      <c r="D6" s="169">
        <v>1814.3442078118023</v>
      </c>
      <c r="E6" s="169" t="s">
        <v>18</v>
      </c>
      <c r="F6" s="170">
        <v>192.32239108946922</v>
      </c>
      <c r="G6" s="169">
        <v>2830.376964186411</v>
      </c>
      <c r="H6" s="169" t="s">
        <v>18</v>
      </c>
      <c r="I6" s="172" t="s">
        <v>18</v>
      </c>
      <c r="K6" s="20"/>
    </row>
    <row r="7" spans="3:14" x14ac:dyDescent="0.35">
      <c r="C7" s="13" t="s">
        <v>31</v>
      </c>
      <c r="D7" s="169" t="s">
        <v>18</v>
      </c>
      <c r="E7" s="169">
        <v>608.45856214289427</v>
      </c>
      <c r="F7" s="170">
        <v>526.90047136385635</v>
      </c>
      <c r="G7" s="169">
        <v>7117.748259947577</v>
      </c>
      <c r="H7" s="169">
        <v>70915.237270678423</v>
      </c>
      <c r="I7" s="171">
        <v>638.9462878088126</v>
      </c>
      <c r="K7" s="20"/>
    </row>
    <row r="8" spans="3:14" x14ac:dyDescent="0.35">
      <c r="C8" s="13" t="s">
        <v>43</v>
      </c>
      <c r="D8" s="169">
        <v>1200.9298626327682</v>
      </c>
      <c r="E8" s="169" t="s">
        <v>18</v>
      </c>
      <c r="F8" s="170">
        <v>127.29982641542915</v>
      </c>
      <c r="G8" s="169">
        <v>1873.450585707119</v>
      </c>
      <c r="H8" s="169" t="s">
        <v>18</v>
      </c>
      <c r="I8" s="172" t="s">
        <v>18</v>
      </c>
      <c r="K8" s="20"/>
    </row>
    <row r="9" spans="3:14" x14ac:dyDescent="0.35">
      <c r="C9" s="13" t="s">
        <v>32</v>
      </c>
      <c r="D9" s="169">
        <v>3333.2041685996419</v>
      </c>
      <c r="E9" s="169" t="s">
        <v>18</v>
      </c>
      <c r="F9" s="170">
        <v>353.32314173593903</v>
      </c>
      <c r="G9" s="169">
        <v>5199.7985030154396</v>
      </c>
      <c r="H9" s="169" t="s">
        <v>18</v>
      </c>
      <c r="I9" s="172" t="s">
        <v>18</v>
      </c>
      <c r="K9" s="20"/>
    </row>
    <row r="10" spans="3:14" x14ac:dyDescent="0.35">
      <c r="C10" s="13" t="s">
        <v>33</v>
      </c>
      <c r="D10" s="169" t="s">
        <v>18</v>
      </c>
      <c r="E10" s="169">
        <v>181.63880695503087</v>
      </c>
      <c r="F10" s="170">
        <v>157.29185018863814</v>
      </c>
      <c r="G10" s="169">
        <v>2124.8107637599514</v>
      </c>
      <c r="H10" s="169" t="s">
        <v>18</v>
      </c>
      <c r="I10" s="172" t="s">
        <v>18</v>
      </c>
      <c r="K10" s="20"/>
    </row>
    <row r="11" spans="3:14" x14ac:dyDescent="0.35">
      <c r="C11" s="13" t="s">
        <v>34</v>
      </c>
      <c r="D11" s="169" t="s">
        <v>18</v>
      </c>
      <c r="E11" s="169">
        <v>403.80179505765818</v>
      </c>
      <c r="F11" s="170">
        <v>349.67599996314084</v>
      </c>
      <c r="G11" s="169">
        <v>4723.6733985844839</v>
      </c>
      <c r="H11" s="169" t="s">
        <v>18</v>
      </c>
      <c r="I11" s="172" t="s">
        <v>18</v>
      </c>
      <c r="K11" s="20"/>
    </row>
    <row r="12" spans="3:14" x14ac:dyDescent="0.35">
      <c r="C12" s="13" t="s">
        <v>35</v>
      </c>
      <c r="D12" s="169" t="s">
        <v>18</v>
      </c>
      <c r="E12" s="169">
        <v>681.6965372555369</v>
      </c>
      <c r="F12" s="170">
        <v>590.32159156747559</v>
      </c>
      <c r="G12" s="169">
        <v>7974.4860928152702</v>
      </c>
      <c r="H12" s="169" t="s">
        <v>18</v>
      </c>
      <c r="I12" s="172" t="s">
        <v>18</v>
      </c>
      <c r="K12" s="20"/>
    </row>
    <row r="13" spans="3:14" x14ac:dyDescent="0.35">
      <c r="C13" s="13" t="s">
        <v>44</v>
      </c>
      <c r="D13" s="169">
        <v>15899.089993201698</v>
      </c>
      <c r="E13" s="169">
        <v>1875.5957014111202</v>
      </c>
      <c r="F13" s="170">
        <v>3309.5101464069835</v>
      </c>
      <c r="G13" s="169">
        <v>46743.298904501935</v>
      </c>
      <c r="H13" s="169">
        <v>111873.07198406445</v>
      </c>
      <c r="I13" s="171">
        <v>1007.9763785764206</v>
      </c>
      <c r="K13" s="20"/>
    </row>
    <row r="14" spans="3:14" ht="15" customHeight="1" x14ac:dyDescent="0.35">
      <c r="C14" s="226" t="s">
        <v>86</v>
      </c>
      <c r="D14" s="226"/>
      <c r="E14" s="226"/>
      <c r="F14" s="226"/>
      <c r="G14" s="226"/>
      <c r="H14" s="226"/>
      <c r="I14" s="226"/>
      <c r="J14" s="17"/>
      <c r="K14" s="20"/>
      <c r="M14" s="18"/>
      <c r="N14" s="18"/>
    </row>
    <row r="15" spans="3:14" x14ac:dyDescent="0.35">
      <c r="C15" s="227"/>
      <c r="D15" s="227"/>
      <c r="E15" s="227"/>
      <c r="F15" s="227"/>
      <c r="G15" s="227"/>
      <c r="H15" s="227"/>
      <c r="I15" s="227"/>
      <c r="J15" s="17"/>
      <c r="K15" s="20"/>
      <c r="M15" s="18"/>
      <c r="N15" s="18"/>
    </row>
    <row r="16" spans="3:14" x14ac:dyDescent="0.35">
      <c r="C16" s="227"/>
      <c r="D16" s="227"/>
      <c r="E16" s="227"/>
      <c r="F16" s="227"/>
      <c r="G16" s="227"/>
      <c r="H16" s="227"/>
      <c r="I16" s="227"/>
      <c r="J16" s="17"/>
      <c r="K16" s="20"/>
      <c r="M16" s="18"/>
      <c r="N16" s="18"/>
    </row>
    <row r="17" spans="3:14" x14ac:dyDescent="0.35">
      <c r="C17" s="227"/>
      <c r="D17" s="227"/>
      <c r="E17" s="227"/>
      <c r="F17" s="227"/>
      <c r="G17" s="227"/>
      <c r="H17" s="227"/>
      <c r="I17" s="227"/>
      <c r="J17" s="17"/>
      <c r="K17" s="20"/>
      <c r="M17" s="18"/>
      <c r="N17" s="18"/>
    </row>
    <row r="18" spans="3:14" x14ac:dyDescent="0.35">
      <c r="C18" s="24"/>
      <c r="D18" s="24"/>
      <c r="E18" s="24"/>
      <c r="F18" s="24"/>
      <c r="G18" s="24"/>
      <c r="I18" s="17"/>
      <c r="J18" s="17"/>
      <c r="K18" s="20"/>
      <c r="M18" s="18"/>
      <c r="N18" s="18"/>
    </row>
    <row r="19" spans="3:14" x14ac:dyDescent="0.35">
      <c r="C19" s="24"/>
      <c r="D19" s="24"/>
      <c r="E19" s="24"/>
      <c r="F19" s="24"/>
      <c r="G19" s="24"/>
      <c r="I19" s="17"/>
      <c r="J19" s="17"/>
      <c r="K19" s="20"/>
      <c r="M19" s="18"/>
      <c r="N19" s="18"/>
    </row>
    <row r="20" spans="3:14" x14ac:dyDescent="0.35">
      <c r="C20" s="7" t="s">
        <v>87</v>
      </c>
      <c r="D20" s="6"/>
      <c r="E20" s="6"/>
      <c r="F20" s="6"/>
      <c r="G20" s="6"/>
      <c r="H20" s="6"/>
      <c r="K20" s="20"/>
    </row>
    <row r="21" spans="3:14" x14ac:dyDescent="0.35">
      <c r="D21" s="225" t="s">
        <v>36</v>
      </c>
      <c r="E21" s="225"/>
      <c r="F21" s="225"/>
      <c r="G21" s="225"/>
      <c r="H21" s="225"/>
      <c r="I21" s="225"/>
      <c r="K21" s="20"/>
    </row>
    <row r="22" spans="3:14" ht="53" x14ac:dyDescent="0.35">
      <c r="C22" s="10" t="s">
        <v>28</v>
      </c>
      <c r="D22" s="8" t="s">
        <v>37</v>
      </c>
      <c r="E22" s="8" t="s">
        <v>38</v>
      </c>
      <c r="F22" s="8" t="s">
        <v>45</v>
      </c>
      <c r="G22" s="8" t="s">
        <v>46</v>
      </c>
      <c r="H22" s="8" t="s">
        <v>41</v>
      </c>
      <c r="I22" s="8" t="s">
        <v>42</v>
      </c>
      <c r="K22" s="20"/>
    </row>
    <row r="23" spans="3:14" x14ac:dyDescent="0.35">
      <c r="C23" s="13" t="s">
        <v>29</v>
      </c>
      <c r="D23" s="169">
        <v>114607.34104988983</v>
      </c>
      <c r="E23" s="169" t="s">
        <v>18</v>
      </c>
      <c r="F23" s="170">
        <v>12148.498488996423</v>
      </c>
      <c r="G23" s="169">
        <v>178787.45203782816</v>
      </c>
      <c r="H23" s="169">
        <v>491494.01656063215</v>
      </c>
      <c r="I23" s="171">
        <v>4428.3610892112965</v>
      </c>
      <c r="K23" s="20"/>
    </row>
    <row r="24" spans="3:14" ht="24.65" customHeight="1" x14ac:dyDescent="0.35">
      <c r="C24" s="133" t="s">
        <v>88</v>
      </c>
      <c r="D24" s="169">
        <v>21772.130493741628</v>
      </c>
      <c r="E24" s="169" t="s">
        <v>18</v>
      </c>
      <c r="F24" s="170">
        <v>2307.8686930736308</v>
      </c>
      <c r="G24" s="169">
        <v>33964.523570236932</v>
      </c>
      <c r="H24" s="169" t="s">
        <v>18</v>
      </c>
      <c r="I24" s="169" t="s">
        <v>18</v>
      </c>
      <c r="K24" s="20"/>
    </row>
    <row r="25" spans="3:14" x14ac:dyDescent="0.35">
      <c r="C25" s="13" t="s">
        <v>31</v>
      </c>
      <c r="D25" s="169" t="s">
        <v>18</v>
      </c>
      <c r="E25" s="169">
        <v>7301.5027457147316</v>
      </c>
      <c r="F25" s="170">
        <v>6322.8056563662758</v>
      </c>
      <c r="G25" s="169">
        <v>85412.979119370924</v>
      </c>
      <c r="H25" s="169">
        <v>850982.84724814107</v>
      </c>
      <c r="I25" s="171">
        <v>7667.3554537057516</v>
      </c>
      <c r="K25" s="20"/>
    </row>
    <row r="26" spans="3:14" x14ac:dyDescent="0.35">
      <c r="C26" s="13" t="s">
        <v>43</v>
      </c>
      <c r="D26" s="169">
        <v>14411.158351593218</v>
      </c>
      <c r="E26" s="169" t="s">
        <v>18</v>
      </c>
      <c r="F26" s="170">
        <v>1527.5979169851498</v>
      </c>
      <c r="G26" s="169">
        <v>22481.407028485428</v>
      </c>
      <c r="H26" s="169" t="s">
        <v>18</v>
      </c>
      <c r="I26" s="169" t="s">
        <v>18</v>
      </c>
      <c r="K26" s="20"/>
    </row>
    <row r="27" spans="3:14" x14ac:dyDescent="0.35">
      <c r="C27" s="13" t="s">
        <v>32</v>
      </c>
      <c r="D27" s="169">
        <v>39998.450023195706</v>
      </c>
      <c r="E27" s="169" t="s">
        <v>18</v>
      </c>
      <c r="F27" s="170">
        <v>4239.8777008312682</v>
      </c>
      <c r="G27" s="169">
        <v>62397.582036185275</v>
      </c>
      <c r="H27" s="169" t="s">
        <v>18</v>
      </c>
      <c r="I27" s="169" t="s">
        <v>18</v>
      </c>
      <c r="K27" s="20"/>
    </row>
    <row r="28" spans="3:14" x14ac:dyDescent="0.35">
      <c r="C28" s="13" t="s">
        <v>33</v>
      </c>
      <c r="D28" s="169" t="s">
        <v>18</v>
      </c>
      <c r="E28" s="169">
        <v>2179.6656834603705</v>
      </c>
      <c r="F28" s="170">
        <v>1887.5022022636576</v>
      </c>
      <c r="G28" s="169">
        <v>25497.729165119417</v>
      </c>
      <c r="H28" s="169" t="s">
        <v>18</v>
      </c>
      <c r="I28" s="169" t="s">
        <v>18</v>
      </c>
      <c r="K28" s="20"/>
    </row>
    <row r="29" spans="3:14" x14ac:dyDescent="0.35">
      <c r="C29" s="13" t="s">
        <v>34</v>
      </c>
      <c r="D29" s="169" t="s">
        <v>18</v>
      </c>
      <c r="E29" s="169">
        <v>4845.6215406918982</v>
      </c>
      <c r="F29" s="170">
        <v>4196.1119995576901</v>
      </c>
      <c r="G29" s="169">
        <v>56684.080783013807</v>
      </c>
      <c r="H29" s="169" t="s">
        <v>18</v>
      </c>
      <c r="I29" s="169" t="s">
        <v>18</v>
      </c>
      <c r="K29" s="20"/>
    </row>
    <row r="30" spans="3:14" x14ac:dyDescent="0.35">
      <c r="C30" s="13" t="s">
        <v>35</v>
      </c>
      <c r="D30" s="169" t="s">
        <v>18</v>
      </c>
      <c r="E30" s="169">
        <v>8180.3584470664427</v>
      </c>
      <c r="F30" s="170">
        <v>7083.8590988097076</v>
      </c>
      <c r="G30" s="169">
        <v>95693.833113783243</v>
      </c>
      <c r="H30" s="169" t="s">
        <v>18</v>
      </c>
      <c r="I30" s="169" t="s">
        <v>18</v>
      </c>
      <c r="K30" s="20"/>
    </row>
    <row r="31" spans="3:14" ht="15" customHeight="1" x14ac:dyDescent="0.35">
      <c r="C31" s="223" t="s">
        <v>89</v>
      </c>
      <c r="D31" s="223"/>
      <c r="E31" s="223"/>
      <c r="F31" s="223"/>
      <c r="G31" s="224"/>
      <c r="H31" s="6"/>
      <c r="K31" s="20"/>
    </row>
    <row r="32" spans="3:14" x14ac:dyDescent="0.35">
      <c r="C32" s="16"/>
      <c r="D32" s="16"/>
      <c r="E32" s="16"/>
      <c r="F32" s="16"/>
      <c r="G32" s="16"/>
      <c r="H32" s="6"/>
      <c r="I32" s="6"/>
      <c r="J32" s="6"/>
      <c r="K32" s="20"/>
      <c r="M32" s="6"/>
      <c r="N32" s="6"/>
    </row>
    <row r="33" spans="1:11" x14ac:dyDescent="0.35">
      <c r="C33" s="7" t="s">
        <v>90</v>
      </c>
      <c r="D33" s="6"/>
      <c r="E33" s="6"/>
      <c r="F33" s="6"/>
      <c r="G33" s="6"/>
      <c r="H33" s="6"/>
      <c r="I33" s="6"/>
      <c r="J33" s="6"/>
      <c r="K33" s="20"/>
    </row>
    <row r="34" spans="1:11" x14ac:dyDescent="0.35">
      <c r="C34" s="4"/>
      <c r="D34" s="228" t="s">
        <v>36</v>
      </c>
      <c r="E34" s="229"/>
      <c r="F34" s="229"/>
      <c r="G34" s="229"/>
      <c r="H34" s="229"/>
      <c r="I34" s="229"/>
      <c r="J34" s="230"/>
      <c r="K34" s="20"/>
    </row>
    <row r="35" spans="1:11" ht="37.5" x14ac:dyDescent="0.35">
      <c r="C35" s="10" t="s">
        <v>28</v>
      </c>
      <c r="D35" s="5" t="s">
        <v>47</v>
      </c>
      <c r="E35" s="5" t="s">
        <v>48</v>
      </c>
      <c r="F35" s="5" t="s">
        <v>49</v>
      </c>
      <c r="G35" s="5" t="s">
        <v>91</v>
      </c>
      <c r="H35" s="5" t="s">
        <v>92</v>
      </c>
      <c r="I35" s="5" t="s">
        <v>41</v>
      </c>
      <c r="J35" s="5" t="s">
        <v>50</v>
      </c>
      <c r="K35" s="20"/>
    </row>
    <row r="36" spans="1:11" x14ac:dyDescent="0.35">
      <c r="C36" s="13" t="s">
        <v>29</v>
      </c>
      <c r="D36" s="68">
        <v>1108.6574106749679</v>
      </c>
      <c r="E36" s="136" t="s">
        <v>18</v>
      </c>
      <c r="F36" s="165">
        <v>70.286136371423254</v>
      </c>
      <c r="G36" s="167">
        <v>1.7295055606529495</v>
      </c>
      <c r="H36" s="167">
        <v>0.78448988626769278</v>
      </c>
      <c r="I36" s="68">
        <v>491494.01656063221</v>
      </c>
      <c r="J36" s="165">
        <v>3.3301679054782745</v>
      </c>
      <c r="K36" s="20"/>
    </row>
    <row r="37" spans="1:11" ht="25" x14ac:dyDescent="0.35">
      <c r="C37" s="133" t="s">
        <v>88</v>
      </c>
      <c r="D37" s="68">
        <v>140.40888711519005</v>
      </c>
      <c r="E37" s="137" t="s">
        <v>18</v>
      </c>
      <c r="F37" s="165">
        <v>8.9015759895834261</v>
      </c>
      <c r="G37" s="167">
        <v>0.21903786389969646</v>
      </c>
      <c r="H37" s="167">
        <v>9.9353822761991117E-2</v>
      </c>
      <c r="I37" s="68"/>
      <c r="J37" s="68"/>
      <c r="K37" s="20"/>
    </row>
    <row r="38" spans="1:11" x14ac:dyDescent="0.35">
      <c r="C38" s="13" t="s">
        <v>31</v>
      </c>
      <c r="D38" s="140" t="s">
        <v>18</v>
      </c>
      <c r="E38" s="68">
        <v>8632714.0607415643</v>
      </c>
      <c r="F38" s="165">
        <v>48.596104106758716</v>
      </c>
      <c r="G38" s="167">
        <v>1.009854890825548</v>
      </c>
      <c r="H38" s="167">
        <v>0.45806209963934191</v>
      </c>
      <c r="I38" s="68">
        <v>850982.84724814084</v>
      </c>
      <c r="J38" s="165">
        <v>5.7659211923868474</v>
      </c>
      <c r="K38" s="20"/>
    </row>
    <row r="39" spans="1:11" x14ac:dyDescent="0.35">
      <c r="C39" s="13" t="s">
        <v>43</v>
      </c>
      <c r="D39" s="68">
        <v>278.81350978990599</v>
      </c>
      <c r="E39" s="136" t="s">
        <v>18</v>
      </c>
      <c r="F39" s="165">
        <v>17.676086573360561</v>
      </c>
      <c r="G39" s="167">
        <v>0.43494907527225329</v>
      </c>
      <c r="H39" s="167">
        <v>0.19728942095089191</v>
      </c>
      <c r="I39" s="68"/>
      <c r="J39" s="68"/>
      <c r="K39" s="20"/>
    </row>
    <row r="40" spans="1:11" x14ac:dyDescent="0.35">
      <c r="C40" s="13" t="s">
        <v>32</v>
      </c>
      <c r="D40" s="68">
        <v>429.91795219610435</v>
      </c>
      <c r="E40" s="136" t="s">
        <v>18</v>
      </c>
      <c r="F40" s="165">
        <v>27.255734301348941</v>
      </c>
      <c r="G40" s="167">
        <v>0.67067200542592287</v>
      </c>
      <c r="H40" s="167">
        <v>0.30421145628515511</v>
      </c>
      <c r="I40" s="68"/>
      <c r="J40" s="68"/>
      <c r="K40" s="20"/>
    </row>
    <row r="41" spans="1:11" x14ac:dyDescent="0.35">
      <c r="C41" s="13" t="s">
        <v>33</v>
      </c>
      <c r="D41" s="136" t="s">
        <v>18</v>
      </c>
      <c r="E41" s="66">
        <v>10073972.48697515</v>
      </c>
      <c r="F41" s="165">
        <v>56.709374630162806</v>
      </c>
      <c r="G41" s="167">
        <v>0.23418034680848684</v>
      </c>
      <c r="H41" s="167">
        <v>0.10622233186955518</v>
      </c>
      <c r="I41" s="68"/>
      <c r="J41" s="68"/>
      <c r="K41" s="20"/>
    </row>
    <row r="42" spans="1:11" x14ac:dyDescent="0.35">
      <c r="C42" s="13" t="s">
        <v>34</v>
      </c>
      <c r="D42" s="136" t="s">
        <v>18</v>
      </c>
      <c r="E42" s="66">
        <v>520825.10414366127</v>
      </c>
      <c r="F42" s="165">
        <v>2.9318787584404986</v>
      </c>
      <c r="G42" s="167">
        <v>6.0926120682725494E-2</v>
      </c>
      <c r="H42" s="167">
        <v>2.7635600932718826E-2</v>
      </c>
      <c r="I42" s="68"/>
      <c r="J42" s="68"/>
      <c r="K42" s="20"/>
    </row>
    <row r="43" spans="1:11" x14ac:dyDescent="0.35">
      <c r="C43" s="13" t="s">
        <v>35</v>
      </c>
      <c r="D43" s="136" t="s">
        <v>18</v>
      </c>
      <c r="E43" s="66">
        <v>1758509.6171243722</v>
      </c>
      <c r="F43" s="165">
        <v>9.8991714338296433</v>
      </c>
      <c r="G43" s="167">
        <v>0.20571045501120905</v>
      </c>
      <c r="H43" s="167">
        <v>9.3308616709444334E-2</v>
      </c>
      <c r="I43" s="68"/>
      <c r="J43" s="68"/>
      <c r="K43" s="20"/>
    </row>
    <row r="44" spans="1:11" x14ac:dyDescent="0.35">
      <c r="C44" s="11" t="s">
        <v>51</v>
      </c>
      <c r="D44" s="162">
        <v>1960.3538251275179</v>
      </c>
      <c r="E44" s="162">
        <v>21013420.238853049</v>
      </c>
      <c r="F44" s="166">
        <v>242.57234729883558</v>
      </c>
      <c r="G44" s="168">
        <v>4.5592812937286533</v>
      </c>
      <c r="H44" s="168">
        <v>2.0680535205849671</v>
      </c>
      <c r="I44" s="162">
        <v>1342476.863808773</v>
      </c>
      <c r="J44" s="166">
        <v>9.0960890978651214</v>
      </c>
      <c r="K44" s="20"/>
    </row>
    <row r="45" spans="1:11" ht="15" customHeight="1" x14ac:dyDescent="0.35">
      <c r="C45" s="221" t="s">
        <v>93</v>
      </c>
      <c r="D45" s="221"/>
      <c r="E45" s="221"/>
      <c r="F45" s="221"/>
      <c r="G45" s="221"/>
      <c r="H45" s="221"/>
      <c r="I45" s="221"/>
      <c r="J45" s="221"/>
      <c r="K45" s="20"/>
    </row>
    <row r="46" spans="1:11" ht="15.65" customHeight="1" x14ac:dyDescent="0.35">
      <c r="C46" s="222" t="s">
        <v>94</v>
      </c>
      <c r="D46" s="222"/>
      <c r="E46" s="222"/>
      <c r="F46" s="222"/>
      <c r="G46" s="222"/>
      <c r="H46" s="222"/>
      <c r="I46" s="222"/>
      <c r="J46" s="222"/>
      <c r="K46" s="20"/>
    </row>
    <row r="47" spans="1:11" ht="30.65" customHeight="1" thickBot="1" x14ac:dyDescent="0.4">
      <c r="A47" s="19"/>
      <c r="B47" s="19"/>
      <c r="C47" s="19"/>
      <c r="D47" s="19"/>
      <c r="E47" s="19"/>
      <c r="F47" s="19"/>
      <c r="G47" s="19"/>
      <c r="H47" s="19"/>
      <c r="I47" s="19"/>
      <c r="J47" s="19"/>
      <c r="K47" s="21"/>
    </row>
    <row r="48" spans="1:11" ht="15" thickTop="1" x14ac:dyDescent="0.35"/>
  </sheetData>
  <customSheetViews>
    <customSheetView guid="{D3B96324-F501-48FE-9FB5-D5CAA0435798}" showGridLines="0">
      <selection activeCell="K35" sqref="K35"/>
      <pageMargins left="0" right="0" top="0" bottom="0" header="0" footer="0"/>
    </customSheetView>
    <customSheetView guid="{DCECD019-2153-4FC6-B239-22C55039ABFE}" showGridLines="0">
      <selection activeCell="K35" sqref="K35"/>
      <pageMargins left="0" right="0" top="0" bottom="0" header="0" footer="0"/>
    </customSheetView>
  </customSheetViews>
  <mergeCells count="7">
    <mergeCell ref="C45:J45"/>
    <mergeCell ref="C46:J46"/>
    <mergeCell ref="C31:G31"/>
    <mergeCell ref="D3:I3"/>
    <mergeCell ref="C14:I17"/>
    <mergeCell ref="D21:I21"/>
    <mergeCell ref="D34:J34"/>
  </mergeCells>
  <pageMargins left="0.7" right="0.7" top="0.75" bottom="0.75" header="0.3" footer="0.3"/>
  <pageSetup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32F9E-084C-4F8B-B20E-328DA31707AF}">
  <sheetPr>
    <tabColor rgb="FF00B0F0"/>
  </sheetPr>
  <dimension ref="A1:I28"/>
  <sheetViews>
    <sheetView workbookViewId="0">
      <selection activeCell="A2" sqref="A2"/>
    </sheetView>
  </sheetViews>
  <sheetFormatPr defaultColWidth="8.7265625" defaultRowHeight="14.5" x14ac:dyDescent="0.35"/>
  <cols>
    <col min="1" max="1" width="25.26953125" style="9" customWidth="1"/>
    <col min="2" max="2" width="24.453125" style="9" customWidth="1"/>
    <col min="3" max="3" width="29.81640625" style="9" customWidth="1"/>
    <col min="4" max="4" width="21.453125" style="9" customWidth="1"/>
    <col min="5" max="5" width="23.54296875" style="9" customWidth="1"/>
    <col min="6" max="6" width="15.81640625" style="9" customWidth="1"/>
    <col min="7" max="7" width="16.81640625" style="9" customWidth="1"/>
    <col min="8" max="8" width="30.54296875" style="9" customWidth="1"/>
    <col min="9" max="16384" width="8.7265625" style="9"/>
  </cols>
  <sheetData>
    <row r="1" spans="1:9" x14ac:dyDescent="0.35">
      <c r="A1" s="149"/>
      <c r="B1" s="149"/>
      <c r="C1" s="149"/>
      <c r="D1" s="149"/>
      <c r="E1" s="149"/>
      <c r="F1" s="149"/>
      <c r="G1" s="149"/>
      <c r="H1" s="150"/>
      <c r="I1" s="151"/>
    </row>
    <row r="2" spans="1:9" x14ac:dyDescent="0.35">
      <c r="A2" s="152" t="s">
        <v>95</v>
      </c>
      <c r="B2" s="149"/>
      <c r="C2" s="149"/>
      <c r="D2" s="149"/>
      <c r="E2" s="149"/>
      <c r="F2" s="149"/>
      <c r="G2" s="149"/>
      <c r="H2" s="150"/>
      <c r="I2" s="151"/>
    </row>
    <row r="3" spans="1:9" ht="26.5" x14ac:dyDescent="0.35">
      <c r="A3" s="22" t="s">
        <v>58</v>
      </c>
      <c r="B3" s="22" t="s">
        <v>59</v>
      </c>
      <c r="C3" s="22" t="s">
        <v>60</v>
      </c>
      <c r="D3" s="22" t="s">
        <v>61</v>
      </c>
      <c r="E3" s="22" t="s">
        <v>62</v>
      </c>
      <c r="F3" s="22" t="s">
        <v>63</v>
      </c>
      <c r="G3" s="149"/>
      <c r="H3" s="150"/>
      <c r="I3" s="151"/>
    </row>
    <row r="4" spans="1:9" x14ac:dyDescent="0.35">
      <c r="A4" s="232" t="s">
        <v>54</v>
      </c>
      <c r="B4" s="135" t="s">
        <v>56</v>
      </c>
      <c r="C4" s="159">
        <v>23518.320459044236</v>
      </c>
      <c r="D4" s="160">
        <v>2492.9666628951709</v>
      </c>
      <c r="E4" s="161">
        <v>16851</v>
      </c>
      <c r="F4" s="234">
        <v>0.7121257068326744</v>
      </c>
      <c r="G4" s="149"/>
      <c r="H4" s="150"/>
      <c r="I4" s="151"/>
    </row>
    <row r="5" spans="1:9" ht="29.15" customHeight="1" x14ac:dyDescent="0.35">
      <c r="A5" s="233"/>
      <c r="B5" s="135" t="s">
        <v>30</v>
      </c>
      <c r="C5" s="156">
        <v>13967.708704886751</v>
      </c>
      <c r="D5" s="157">
        <v>1480.5917888121355</v>
      </c>
      <c r="E5" s="158">
        <v>17385.333333333332</v>
      </c>
      <c r="F5" s="235"/>
      <c r="G5" s="149"/>
      <c r="H5" s="150"/>
      <c r="I5" s="151"/>
    </row>
    <row r="6" spans="1:9" x14ac:dyDescent="0.35">
      <c r="A6" s="232" t="s">
        <v>43</v>
      </c>
      <c r="B6" s="135" t="s">
        <v>56</v>
      </c>
      <c r="C6" s="156">
        <v>11054.759389131754</v>
      </c>
      <c r="D6" s="157">
        <v>1171.8161027453243</v>
      </c>
      <c r="E6" s="158">
        <v>4066.5</v>
      </c>
      <c r="F6" s="234">
        <v>1.7051686132502224</v>
      </c>
      <c r="G6" s="149"/>
      <c r="H6" s="150"/>
      <c r="I6" s="151"/>
    </row>
    <row r="7" spans="1:9" ht="23.15" customHeight="1" x14ac:dyDescent="0.35">
      <c r="A7" s="233"/>
      <c r="B7" s="135" t="s">
        <v>30</v>
      </c>
      <c r="C7" s="156">
        <v>8856.9682980827765</v>
      </c>
      <c r="D7" s="157">
        <v>938.84793941348721</v>
      </c>
      <c r="E7" s="158">
        <v>4463.75</v>
      </c>
      <c r="F7" s="235"/>
      <c r="G7" s="149"/>
      <c r="H7" s="150"/>
      <c r="I7" s="151"/>
    </row>
    <row r="8" spans="1:9" x14ac:dyDescent="0.35">
      <c r="A8" s="232" t="s">
        <v>33</v>
      </c>
      <c r="B8" s="135" t="s">
        <v>56</v>
      </c>
      <c r="C8" s="156">
        <v>714.74706088354606</v>
      </c>
      <c r="D8" s="157">
        <v>618.94200643531769</v>
      </c>
      <c r="E8" s="158">
        <v>4225</v>
      </c>
      <c r="F8" s="234">
        <v>1.2079456104822679</v>
      </c>
      <c r="G8" s="149"/>
      <c r="H8" s="150"/>
      <c r="I8" s="151"/>
    </row>
    <row r="9" spans="1:9" ht="22" customHeight="1" x14ac:dyDescent="0.35">
      <c r="A9" s="233"/>
      <c r="B9" s="135" t="s">
        <v>30</v>
      </c>
      <c r="C9" s="156">
        <v>533.10825392851518</v>
      </c>
      <c r="D9" s="157">
        <v>461.6501562466795</v>
      </c>
      <c r="E9" s="158">
        <v>4415</v>
      </c>
      <c r="F9" s="235"/>
      <c r="G9" s="149"/>
      <c r="H9" s="150"/>
      <c r="I9" s="151"/>
    </row>
    <row r="10" spans="1:9" x14ac:dyDescent="0.35">
      <c r="A10" s="231" t="s">
        <v>450</v>
      </c>
      <c r="B10" s="231"/>
      <c r="C10" s="231"/>
      <c r="D10" s="231"/>
      <c r="E10" s="231"/>
      <c r="F10" s="231"/>
      <c r="G10" s="149"/>
      <c r="H10" s="150"/>
      <c r="I10" s="151"/>
    </row>
    <row r="11" spans="1:9" x14ac:dyDescent="0.35">
      <c r="A11" s="231"/>
      <c r="B11" s="231"/>
      <c r="C11" s="231"/>
      <c r="D11" s="231"/>
      <c r="E11" s="231"/>
      <c r="F11" s="231"/>
      <c r="G11" s="149"/>
      <c r="H11" s="150"/>
      <c r="I11" s="151"/>
    </row>
    <row r="12" spans="1:9" x14ac:dyDescent="0.35">
      <c r="A12" s="231"/>
      <c r="B12" s="231"/>
      <c r="C12" s="231"/>
      <c r="D12" s="231"/>
      <c r="E12" s="231"/>
      <c r="F12" s="231"/>
      <c r="G12" s="149"/>
      <c r="H12" s="150"/>
      <c r="I12" s="151"/>
    </row>
    <row r="13" spans="1:9" x14ac:dyDescent="0.35">
      <c r="A13" s="231"/>
      <c r="B13" s="231"/>
      <c r="C13" s="231"/>
      <c r="D13" s="231"/>
      <c r="E13" s="231"/>
      <c r="F13" s="231"/>
      <c r="G13" s="149"/>
      <c r="H13" s="150"/>
      <c r="I13" s="151"/>
    </row>
    <row r="14" spans="1:9" x14ac:dyDescent="0.35">
      <c r="A14" s="231"/>
      <c r="B14" s="231"/>
      <c r="C14" s="231"/>
      <c r="D14" s="231"/>
      <c r="E14" s="231"/>
      <c r="F14" s="231"/>
      <c r="G14" s="149"/>
      <c r="H14" s="150"/>
      <c r="I14" s="151"/>
    </row>
    <row r="15" spans="1:9" x14ac:dyDescent="0.35">
      <c r="A15" s="231"/>
      <c r="B15" s="231"/>
      <c r="C15" s="231"/>
      <c r="D15" s="231"/>
      <c r="E15" s="231"/>
      <c r="F15" s="231"/>
      <c r="G15" s="149"/>
      <c r="H15" s="150"/>
      <c r="I15" s="151"/>
    </row>
    <row r="16" spans="1:9" x14ac:dyDescent="0.35">
      <c r="A16" s="231"/>
      <c r="B16" s="231"/>
      <c r="C16" s="231"/>
      <c r="D16" s="231"/>
      <c r="E16" s="231"/>
      <c r="F16" s="231"/>
      <c r="G16" s="149"/>
      <c r="H16" s="150"/>
      <c r="I16" s="151"/>
    </row>
    <row r="17" spans="1:9" x14ac:dyDescent="0.35">
      <c r="A17" s="231"/>
      <c r="B17" s="231"/>
      <c r="C17" s="231"/>
      <c r="D17" s="231"/>
      <c r="E17" s="231"/>
      <c r="F17" s="231"/>
      <c r="G17" s="149"/>
      <c r="H17" s="150"/>
      <c r="I17" s="151"/>
    </row>
    <row r="18" spans="1:9" x14ac:dyDescent="0.35">
      <c r="A18" s="231"/>
      <c r="B18" s="231"/>
      <c r="C18" s="231"/>
      <c r="D18" s="231"/>
      <c r="E18" s="231"/>
      <c r="F18" s="231"/>
      <c r="G18" s="149"/>
      <c r="H18" s="150"/>
      <c r="I18" s="151"/>
    </row>
    <row r="19" spans="1:9" x14ac:dyDescent="0.35">
      <c r="A19" s="231"/>
      <c r="B19" s="231"/>
      <c r="C19" s="231"/>
      <c r="D19" s="231"/>
      <c r="E19" s="231"/>
      <c r="F19" s="231"/>
      <c r="G19" s="149"/>
      <c r="H19" s="150"/>
      <c r="I19" s="151"/>
    </row>
    <row r="20" spans="1:9" x14ac:dyDescent="0.35">
      <c r="A20" s="231"/>
      <c r="B20" s="231"/>
      <c r="C20" s="231"/>
      <c r="D20" s="231"/>
      <c r="E20" s="231"/>
      <c r="F20" s="231"/>
      <c r="G20" s="149"/>
      <c r="H20" s="150"/>
      <c r="I20" s="151"/>
    </row>
    <row r="21" spans="1:9" x14ac:dyDescent="0.35">
      <c r="A21" s="153"/>
      <c r="B21" s="153"/>
      <c r="C21" s="153"/>
      <c r="D21" s="153"/>
      <c r="E21" s="153"/>
      <c r="F21" s="153"/>
      <c r="G21" s="149"/>
      <c r="H21" s="150"/>
      <c r="I21" s="151"/>
    </row>
    <row r="22" spans="1:9" x14ac:dyDescent="0.35">
      <c r="A22" s="153"/>
      <c r="B22" s="153"/>
      <c r="C22" s="153"/>
      <c r="D22" s="153"/>
      <c r="E22" s="153"/>
      <c r="F22" s="153"/>
      <c r="G22" s="149"/>
      <c r="H22" s="150"/>
      <c r="I22" s="151"/>
    </row>
    <row r="23" spans="1:9" x14ac:dyDescent="0.35">
      <c r="A23" s="153"/>
      <c r="B23" s="153"/>
      <c r="C23" s="153"/>
      <c r="D23" s="153"/>
      <c r="E23" s="153"/>
      <c r="F23" s="153"/>
      <c r="G23" s="149"/>
      <c r="H23" s="150"/>
      <c r="I23" s="151"/>
    </row>
    <row r="24" spans="1:9" x14ac:dyDescent="0.35">
      <c r="A24" s="153"/>
      <c r="B24" s="153"/>
      <c r="C24" s="153"/>
      <c r="D24" s="153"/>
      <c r="E24" s="153"/>
      <c r="F24" s="153"/>
      <c r="G24" s="149"/>
      <c r="H24" s="150"/>
      <c r="I24" s="151"/>
    </row>
    <row r="25" spans="1:9" x14ac:dyDescent="0.35">
      <c r="A25" s="153"/>
      <c r="B25" s="153"/>
      <c r="C25" s="153"/>
      <c r="D25" s="153"/>
      <c r="E25" s="153"/>
      <c r="F25" s="153"/>
      <c r="G25" s="149"/>
      <c r="H25" s="150"/>
      <c r="I25" s="151"/>
    </row>
    <row r="26" spans="1:9" ht="15" thickBot="1" x14ac:dyDescent="0.4">
      <c r="A26" s="154"/>
      <c r="B26" s="154"/>
      <c r="C26" s="154"/>
      <c r="D26" s="154"/>
      <c r="E26" s="154"/>
      <c r="F26" s="154"/>
      <c r="G26" s="154"/>
      <c r="H26" s="155"/>
      <c r="I26" s="151"/>
    </row>
    <row r="27" spans="1:9" ht="15" thickTop="1" x14ac:dyDescent="0.35">
      <c r="A27" s="149"/>
      <c r="B27" s="149"/>
      <c r="C27" s="149"/>
      <c r="D27" s="149"/>
      <c r="E27" s="149"/>
      <c r="F27" s="149"/>
      <c r="G27" s="149"/>
      <c r="H27" s="149"/>
      <c r="I27" s="149"/>
    </row>
    <row r="28" spans="1:9" x14ac:dyDescent="0.35">
      <c r="A28" s="149"/>
      <c r="B28" s="149"/>
      <c r="C28" s="149"/>
      <c r="D28" s="149"/>
      <c r="E28" s="149"/>
      <c r="F28" s="149"/>
      <c r="G28" s="149"/>
      <c r="H28" s="149"/>
      <c r="I28" s="149"/>
    </row>
  </sheetData>
  <mergeCells count="7">
    <mergeCell ref="A10:F20"/>
    <mergeCell ref="A4:A5"/>
    <mergeCell ref="F4:F5"/>
    <mergeCell ref="A6:A7"/>
    <mergeCell ref="F6:F7"/>
    <mergeCell ref="A8:A9"/>
    <mergeCell ref="F8:F9"/>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4EAE1-E695-416E-9A82-CC7072BA9DED}">
  <sheetPr codeName="Sheet7">
    <tabColor rgb="FF00B0F0"/>
  </sheetPr>
  <dimension ref="A1:AB439"/>
  <sheetViews>
    <sheetView zoomScale="70" zoomScaleNormal="70" workbookViewId="0">
      <pane ySplit="2" topLeftCell="A219" activePane="bottomLeft" state="frozen"/>
      <selection activeCell="B22" sqref="B22:X22"/>
      <selection pane="bottomLeft"/>
    </sheetView>
  </sheetViews>
  <sheetFormatPr defaultColWidth="8.7265625" defaultRowHeight="14.5" x14ac:dyDescent="0.35"/>
  <cols>
    <col min="1" max="1" width="22.54296875" style="30" customWidth="1"/>
    <col min="2" max="2" width="27.26953125" style="30" bestFit="1" customWidth="1"/>
    <col min="3" max="3" width="20.7265625" style="30" customWidth="1"/>
    <col min="4" max="4" width="12.453125" style="30" bestFit="1" customWidth="1"/>
    <col min="5" max="5" width="9.81640625" style="30" customWidth="1"/>
    <col min="6" max="6" width="7.54296875" style="30" bestFit="1" customWidth="1"/>
    <col min="7" max="8" width="17.453125" style="30" customWidth="1"/>
    <col min="9" max="9" width="12.54296875" style="30" customWidth="1"/>
    <col min="10" max="10" width="16.54296875" style="30" customWidth="1"/>
    <col min="11" max="11" width="15.1796875" style="115" customWidth="1"/>
    <col min="12" max="12" width="13.1796875" style="30" bestFit="1" customWidth="1"/>
    <col min="13" max="15" width="17.453125" style="30" customWidth="1"/>
    <col min="16" max="16" width="13.453125" style="120" customWidth="1"/>
    <col min="17" max="17" width="14" style="30" customWidth="1"/>
    <col min="18" max="18" width="12.7265625" style="30" customWidth="1"/>
    <col min="19" max="19" width="14.26953125" style="30" customWidth="1"/>
    <col min="20" max="20" width="16.26953125" style="30" customWidth="1"/>
    <col min="21" max="21" width="16" style="30" customWidth="1"/>
    <col min="22" max="22" width="14.7265625" style="30" customWidth="1"/>
    <col min="23" max="23" width="10.453125" style="30" customWidth="1"/>
    <col min="24" max="24" width="10.81640625" style="30" customWidth="1"/>
    <col min="25" max="27" width="13.1796875" style="30" customWidth="1"/>
    <col min="28" max="16384" width="8.7265625" style="30"/>
  </cols>
  <sheetData>
    <row r="1" spans="1:25" ht="19" customHeight="1" x14ac:dyDescent="0.35">
      <c r="A1" s="139" t="s">
        <v>96</v>
      </c>
    </row>
    <row r="2" spans="1:25" s="52" customFormat="1" ht="103" customHeight="1" x14ac:dyDescent="0.35">
      <c r="A2" s="52" t="s">
        <v>28</v>
      </c>
      <c r="B2" s="52" t="s">
        <v>97</v>
      </c>
      <c r="C2" s="52" t="s">
        <v>98</v>
      </c>
      <c r="D2" s="52" t="s">
        <v>0</v>
      </c>
      <c r="E2" s="52" t="s">
        <v>99</v>
      </c>
      <c r="F2" s="52" t="s">
        <v>1</v>
      </c>
      <c r="G2" s="52" t="s">
        <v>100</v>
      </c>
      <c r="H2" s="52" t="s">
        <v>101</v>
      </c>
      <c r="I2" s="52" t="s">
        <v>102</v>
      </c>
      <c r="J2" s="52" t="s">
        <v>103</v>
      </c>
      <c r="K2" s="119" t="s">
        <v>104</v>
      </c>
      <c r="L2" s="52" t="s">
        <v>105</v>
      </c>
      <c r="M2" s="52" t="s">
        <v>106</v>
      </c>
      <c r="N2" s="52" t="s">
        <v>439</v>
      </c>
      <c r="O2" s="52" t="s">
        <v>440</v>
      </c>
      <c r="P2" s="121" t="s">
        <v>109</v>
      </c>
      <c r="Q2" s="52" t="s">
        <v>110</v>
      </c>
      <c r="R2" s="52" t="s">
        <v>111</v>
      </c>
      <c r="S2" s="52" t="s">
        <v>112</v>
      </c>
      <c r="T2" s="119" t="s">
        <v>113</v>
      </c>
      <c r="U2" s="52" t="s">
        <v>114</v>
      </c>
      <c r="V2" s="52" t="s">
        <v>115</v>
      </c>
      <c r="W2" s="52" t="s">
        <v>116</v>
      </c>
      <c r="X2" s="52" t="s">
        <v>117</v>
      </c>
      <c r="Y2" s="52" t="s">
        <v>118</v>
      </c>
    </row>
    <row r="3" spans="1:25" s="163" customFormat="1" x14ac:dyDescent="0.35">
      <c r="A3" s="30" t="s">
        <v>119</v>
      </c>
      <c r="B3" s="30" t="s">
        <v>120</v>
      </c>
      <c r="C3" s="193">
        <v>2345828</v>
      </c>
      <c r="D3" s="30" t="s">
        <v>121</v>
      </c>
      <c r="E3" s="30" t="s">
        <v>122</v>
      </c>
      <c r="F3" s="30" t="s">
        <v>6</v>
      </c>
      <c r="G3" s="38">
        <v>1.25</v>
      </c>
      <c r="H3" s="38">
        <v>1.1000000000000001</v>
      </c>
      <c r="I3" s="38">
        <v>68</v>
      </c>
      <c r="J3" s="38">
        <v>80</v>
      </c>
      <c r="K3" s="142">
        <v>12</v>
      </c>
      <c r="L3" s="38">
        <v>170.1</v>
      </c>
      <c r="M3" s="38">
        <v>118.2</v>
      </c>
      <c r="N3" s="191">
        <v>0.19</v>
      </c>
      <c r="O3" s="191">
        <v>0</v>
      </c>
      <c r="P3" s="141" t="s">
        <v>66</v>
      </c>
      <c r="Q3" s="30">
        <v>1</v>
      </c>
      <c r="R3" s="38"/>
      <c r="S3" s="38"/>
      <c r="T3" s="38"/>
      <c r="U3" s="38"/>
      <c r="V3" s="38"/>
      <c r="W3" s="38"/>
      <c r="X3" s="38"/>
      <c r="Y3" s="30"/>
    </row>
    <row r="4" spans="1:25" s="14" customFormat="1" x14ac:dyDescent="0.35">
      <c r="A4" s="30" t="s">
        <v>119</v>
      </c>
      <c r="B4" s="30" t="s">
        <v>120</v>
      </c>
      <c r="C4" s="30">
        <v>2232976</v>
      </c>
      <c r="D4" s="30" t="s">
        <v>121</v>
      </c>
      <c r="E4" s="30" t="s">
        <v>122</v>
      </c>
      <c r="F4" s="30" t="s">
        <v>6</v>
      </c>
      <c r="G4" s="38">
        <v>1.18</v>
      </c>
      <c r="H4" s="38">
        <v>1.51</v>
      </c>
      <c r="I4" s="38">
        <v>59</v>
      </c>
      <c r="J4" s="38">
        <v>80</v>
      </c>
      <c r="K4" s="142">
        <v>14</v>
      </c>
      <c r="L4" s="38">
        <v>171.3</v>
      </c>
      <c r="M4" s="38">
        <v>139.9</v>
      </c>
      <c r="N4" s="38">
        <v>7.0052539404553416E-2</v>
      </c>
      <c r="O4" s="38">
        <v>4.5746962115796999E-2</v>
      </c>
      <c r="P4" s="141" t="s">
        <v>66</v>
      </c>
      <c r="Q4" s="30">
        <v>1.26</v>
      </c>
      <c r="R4" s="38"/>
      <c r="S4" s="38"/>
      <c r="T4" s="38"/>
      <c r="U4" s="38"/>
      <c r="V4" s="38"/>
      <c r="W4" s="38"/>
      <c r="X4" s="38"/>
      <c r="Y4" s="30"/>
    </row>
    <row r="5" spans="1:25" s="14" customFormat="1" x14ac:dyDescent="0.35">
      <c r="A5" s="30" t="s">
        <v>119</v>
      </c>
      <c r="B5" s="30" t="s">
        <v>120</v>
      </c>
      <c r="C5" s="30"/>
      <c r="D5" s="30" t="s">
        <v>121</v>
      </c>
      <c r="E5" s="30" t="s">
        <v>122</v>
      </c>
      <c r="F5" s="30" t="s">
        <v>6</v>
      </c>
      <c r="G5" s="38">
        <v>0.92</v>
      </c>
      <c r="H5" s="38">
        <v>1.42</v>
      </c>
      <c r="I5" s="38">
        <v>59</v>
      </c>
      <c r="J5" s="38">
        <v>78</v>
      </c>
      <c r="K5" s="142">
        <v>14</v>
      </c>
      <c r="L5" s="38">
        <v>109</v>
      </c>
      <c r="M5" s="38">
        <v>136</v>
      </c>
      <c r="N5" s="38">
        <v>0.20550458715596329</v>
      </c>
      <c r="O5" s="38">
        <v>7.0588235294117646E-2</v>
      </c>
      <c r="P5" s="141" t="s">
        <v>66</v>
      </c>
      <c r="Q5" s="30">
        <v>1.0900000000000001</v>
      </c>
      <c r="R5" s="38"/>
      <c r="S5" s="38"/>
      <c r="T5" s="38"/>
      <c r="U5" s="38"/>
      <c r="V5" s="38"/>
      <c r="W5" s="38"/>
      <c r="X5" s="38"/>
      <c r="Y5" s="30"/>
    </row>
    <row r="6" spans="1:25" s="14" customFormat="1" x14ac:dyDescent="0.35">
      <c r="A6" s="30" t="s">
        <v>119</v>
      </c>
      <c r="B6" s="30" t="s">
        <v>120</v>
      </c>
      <c r="C6" s="30"/>
      <c r="D6" s="30" t="s">
        <v>121</v>
      </c>
      <c r="E6" s="30" t="s">
        <v>122</v>
      </c>
      <c r="F6" s="30" t="s">
        <v>6</v>
      </c>
      <c r="G6" s="38">
        <v>3.1</v>
      </c>
      <c r="H6" s="38">
        <v>2.12</v>
      </c>
      <c r="I6" s="38">
        <v>68.400000000000006</v>
      </c>
      <c r="J6" s="38">
        <v>81.599999999999994</v>
      </c>
      <c r="K6" s="142">
        <v>24</v>
      </c>
      <c r="L6" s="38">
        <v>289.89999999999998</v>
      </c>
      <c r="M6" s="38">
        <v>226.6</v>
      </c>
      <c r="N6" s="38"/>
      <c r="O6" s="38"/>
      <c r="P6" s="141" t="s">
        <v>66</v>
      </c>
      <c r="Q6" s="30"/>
      <c r="R6" s="38"/>
      <c r="S6" s="38"/>
      <c r="T6" s="38"/>
      <c r="U6" s="38"/>
      <c r="V6" s="38"/>
      <c r="W6" s="38"/>
      <c r="X6" s="38"/>
      <c r="Y6" s="30"/>
    </row>
    <row r="7" spans="1:25" s="14" customFormat="1" x14ac:dyDescent="0.35">
      <c r="A7" s="30" t="s">
        <v>119</v>
      </c>
      <c r="B7" s="30" t="s">
        <v>120</v>
      </c>
      <c r="C7" s="30"/>
      <c r="D7" s="30" t="s">
        <v>121</v>
      </c>
      <c r="E7" s="30" t="s">
        <v>122</v>
      </c>
      <c r="F7" s="30" t="s">
        <v>6</v>
      </c>
      <c r="G7" s="38">
        <v>5.43</v>
      </c>
      <c r="H7" s="38">
        <v>3.34</v>
      </c>
      <c r="I7" s="38">
        <v>67</v>
      </c>
      <c r="J7" s="38">
        <v>82</v>
      </c>
      <c r="K7" s="142">
        <v>40</v>
      </c>
      <c r="L7" s="38">
        <v>524</v>
      </c>
      <c r="M7" s="38">
        <v>431</v>
      </c>
      <c r="N7" s="38"/>
      <c r="O7" s="38"/>
      <c r="P7" s="141" t="s">
        <v>66</v>
      </c>
      <c r="Q7" s="30"/>
      <c r="R7" s="38"/>
      <c r="S7" s="38"/>
      <c r="T7" s="38"/>
      <c r="U7" s="38"/>
      <c r="V7" s="38"/>
      <c r="W7" s="38"/>
      <c r="X7" s="38"/>
      <c r="Y7" s="30"/>
    </row>
    <row r="8" spans="1:25" s="14" customFormat="1" x14ac:dyDescent="0.35">
      <c r="A8" s="30" t="s">
        <v>119</v>
      </c>
      <c r="B8" s="30" t="s">
        <v>120</v>
      </c>
      <c r="C8" s="30"/>
      <c r="D8" s="30" t="s">
        <v>121</v>
      </c>
      <c r="E8" s="30" t="s">
        <v>122</v>
      </c>
      <c r="F8" s="30" t="s">
        <v>6</v>
      </c>
      <c r="G8" s="38">
        <v>1.81</v>
      </c>
      <c r="H8" s="38">
        <v>1.69</v>
      </c>
      <c r="I8" s="38">
        <v>68</v>
      </c>
      <c r="J8" s="38">
        <v>81</v>
      </c>
      <c r="K8" s="142">
        <v>20</v>
      </c>
      <c r="L8" s="38">
        <v>220</v>
      </c>
      <c r="M8" s="38">
        <v>200</v>
      </c>
      <c r="N8" s="38"/>
      <c r="O8" s="38"/>
      <c r="P8" s="141" t="s">
        <v>66</v>
      </c>
      <c r="Q8" s="30">
        <v>1.43</v>
      </c>
      <c r="R8" s="38"/>
      <c r="S8" s="38"/>
      <c r="T8" s="38"/>
      <c r="U8" s="38"/>
      <c r="V8" s="38"/>
      <c r="W8" s="38"/>
      <c r="X8" s="38"/>
      <c r="Y8" s="30"/>
    </row>
    <row r="9" spans="1:25" s="14" customFormat="1" x14ac:dyDescent="0.35">
      <c r="A9" s="30" t="s">
        <v>119</v>
      </c>
      <c r="B9" s="30" t="s">
        <v>120</v>
      </c>
      <c r="C9" s="30"/>
      <c r="D9" s="30" t="s">
        <v>121</v>
      </c>
      <c r="E9" s="30" t="s">
        <v>122</v>
      </c>
      <c r="F9" s="30" t="s">
        <v>6</v>
      </c>
      <c r="G9" s="38">
        <v>1.85</v>
      </c>
      <c r="H9" s="38">
        <v>1.42</v>
      </c>
      <c r="I9" s="38">
        <v>61</v>
      </c>
      <c r="J9" s="38">
        <v>79</v>
      </c>
      <c r="K9" s="142">
        <v>14</v>
      </c>
      <c r="L9" s="38">
        <v>213.1</v>
      </c>
      <c r="M9" s="38">
        <v>145.19999999999999</v>
      </c>
      <c r="N9" s="38"/>
      <c r="O9" s="38"/>
      <c r="P9" s="141" t="s">
        <v>66</v>
      </c>
      <c r="Q9" s="30">
        <v>1.46</v>
      </c>
      <c r="R9" s="38"/>
      <c r="S9" s="38"/>
      <c r="T9" s="38"/>
      <c r="U9" s="38"/>
      <c r="V9" s="38"/>
      <c r="W9" s="38"/>
      <c r="X9" s="38"/>
      <c r="Y9" s="30"/>
    </row>
    <row r="10" spans="1:25" s="14" customFormat="1" x14ac:dyDescent="0.35">
      <c r="A10" s="30" t="s">
        <v>119</v>
      </c>
      <c r="B10" s="30" t="s">
        <v>120</v>
      </c>
      <c r="C10" s="30">
        <v>2238455</v>
      </c>
      <c r="D10" s="30" t="s">
        <v>121</v>
      </c>
      <c r="E10" s="30" t="s">
        <v>122</v>
      </c>
      <c r="F10" s="30" t="s">
        <v>6</v>
      </c>
      <c r="G10" s="38">
        <v>1.41</v>
      </c>
      <c r="H10" s="38">
        <v>1.36</v>
      </c>
      <c r="I10" s="38">
        <v>70</v>
      </c>
      <c r="J10" s="38">
        <v>81</v>
      </c>
      <c r="K10" s="142">
        <v>14</v>
      </c>
      <c r="L10" s="38">
        <v>182.5</v>
      </c>
      <c r="M10" s="38">
        <v>139.1</v>
      </c>
      <c r="N10" s="186">
        <v>0.57857142857142851</v>
      </c>
      <c r="O10" s="186">
        <v>0</v>
      </c>
      <c r="P10" s="141" t="s">
        <v>66</v>
      </c>
      <c r="Q10" s="30">
        <v>1.05</v>
      </c>
      <c r="R10" s="38"/>
      <c r="S10" s="38"/>
      <c r="T10" s="38"/>
      <c r="U10" s="38"/>
      <c r="V10" s="38"/>
      <c r="W10" s="38"/>
      <c r="X10" s="38"/>
      <c r="Y10" s="30"/>
    </row>
    <row r="11" spans="1:25" s="14" customFormat="1" x14ac:dyDescent="0.35">
      <c r="A11" s="30" t="s">
        <v>119</v>
      </c>
      <c r="B11" s="30" t="s">
        <v>120</v>
      </c>
      <c r="C11" s="30">
        <v>2247633</v>
      </c>
      <c r="D11" s="30" t="s">
        <v>121</v>
      </c>
      <c r="E11" s="30" t="s">
        <v>122</v>
      </c>
      <c r="F11" s="30" t="s">
        <v>6</v>
      </c>
      <c r="G11" s="38">
        <v>2.52</v>
      </c>
      <c r="H11" s="38">
        <v>1.74</v>
      </c>
      <c r="I11" s="38">
        <v>65</v>
      </c>
      <c r="J11" s="38">
        <v>81</v>
      </c>
      <c r="K11" s="142">
        <v>20</v>
      </c>
      <c r="L11" s="38">
        <v>347.6</v>
      </c>
      <c r="M11" s="38">
        <v>215.5</v>
      </c>
      <c r="N11" s="38">
        <v>0.35506849315068489</v>
      </c>
      <c r="O11" s="38">
        <v>0</v>
      </c>
      <c r="P11" s="141" t="s">
        <v>66</v>
      </c>
      <c r="Q11" s="30">
        <v>1.53</v>
      </c>
      <c r="R11" s="38"/>
      <c r="S11" s="38"/>
      <c r="T11" s="38"/>
      <c r="U11" s="38"/>
      <c r="V11" s="38"/>
      <c r="W11" s="38"/>
      <c r="X11" s="38"/>
      <c r="Y11" s="30"/>
    </row>
    <row r="12" spans="1:25" s="14" customFormat="1" x14ac:dyDescent="0.35">
      <c r="A12" s="30" t="s">
        <v>119</v>
      </c>
      <c r="B12" s="30" t="s">
        <v>120</v>
      </c>
      <c r="C12" s="30">
        <v>2265954</v>
      </c>
      <c r="D12" s="30" t="s">
        <v>121</v>
      </c>
      <c r="E12" s="30" t="s">
        <v>122</v>
      </c>
      <c r="F12" s="30" t="s">
        <v>6</v>
      </c>
      <c r="G12" s="38">
        <v>1.56</v>
      </c>
      <c r="H12" s="38">
        <v>1.68</v>
      </c>
      <c r="I12" s="38">
        <v>76</v>
      </c>
      <c r="J12" s="38">
        <v>83</v>
      </c>
      <c r="K12" s="142">
        <v>20</v>
      </c>
      <c r="L12" s="38">
        <v>336.5</v>
      </c>
      <c r="M12" s="38">
        <v>232</v>
      </c>
      <c r="N12" s="38">
        <v>4.6029919447640968E-2</v>
      </c>
      <c r="O12" s="38">
        <v>0</v>
      </c>
      <c r="P12" s="141" t="s">
        <v>66</v>
      </c>
      <c r="Q12" s="30">
        <v>1.49</v>
      </c>
      <c r="R12" s="38"/>
      <c r="S12" s="38"/>
      <c r="T12" s="38"/>
      <c r="U12" s="38"/>
      <c r="V12" s="38"/>
      <c r="W12" s="38"/>
      <c r="X12" s="38"/>
      <c r="Y12" s="30"/>
    </row>
    <row r="13" spans="1:25" s="14" customFormat="1" x14ac:dyDescent="0.35">
      <c r="A13" s="30" t="s">
        <v>119</v>
      </c>
      <c r="B13" s="30" t="s">
        <v>120</v>
      </c>
      <c r="C13" s="30">
        <v>2253464</v>
      </c>
      <c r="D13" s="30" t="s">
        <v>121</v>
      </c>
      <c r="E13" s="30" t="s">
        <v>122</v>
      </c>
      <c r="F13" s="30" t="s">
        <v>6</v>
      </c>
      <c r="G13" s="38">
        <v>2.52</v>
      </c>
      <c r="H13" s="38">
        <v>1.74</v>
      </c>
      <c r="I13" s="38">
        <v>64</v>
      </c>
      <c r="J13" s="38">
        <v>81</v>
      </c>
      <c r="K13" s="142">
        <v>22</v>
      </c>
      <c r="L13" s="38">
        <v>348</v>
      </c>
      <c r="M13" s="38">
        <v>216</v>
      </c>
      <c r="N13" s="38">
        <v>1.188707280832095E-2</v>
      </c>
      <c r="O13" s="38">
        <v>0</v>
      </c>
      <c r="P13" s="141" t="s">
        <v>66</v>
      </c>
      <c r="Q13" s="30">
        <v>1.5899999999999999</v>
      </c>
      <c r="R13" s="38">
        <v>1.65</v>
      </c>
      <c r="S13" s="38">
        <v>1.53</v>
      </c>
      <c r="T13" s="38"/>
      <c r="U13" s="38"/>
      <c r="V13" s="38"/>
      <c r="W13" s="38"/>
      <c r="X13" s="38"/>
      <c r="Y13" s="30"/>
    </row>
    <row r="14" spans="1:25" s="14" customFormat="1" x14ac:dyDescent="0.35">
      <c r="A14" s="30" t="s">
        <v>119</v>
      </c>
      <c r="B14" s="30" t="s">
        <v>120</v>
      </c>
      <c r="C14" s="30"/>
      <c r="D14" s="30" t="s">
        <v>121</v>
      </c>
      <c r="E14" s="30" t="s">
        <v>122</v>
      </c>
      <c r="F14" s="30" t="s">
        <v>6</v>
      </c>
      <c r="G14" s="38">
        <v>1.56</v>
      </c>
      <c r="H14" s="38">
        <v>1.68</v>
      </c>
      <c r="I14" s="38">
        <v>76</v>
      </c>
      <c r="J14" s="38">
        <v>83</v>
      </c>
      <c r="K14" s="142">
        <v>22</v>
      </c>
      <c r="L14" s="38">
        <v>337</v>
      </c>
      <c r="M14" s="38">
        <v>232</v>
      </c>
      <c r="N14" s="38"/>
      <c r="O14" s="38"/>
      <c r="P14" s="141" t="s">
        <v>66</v>
      </c>
      <c r="Q14" s="30">
        <v>1.1400000000000001</v>
      </c>
      <c r="R14" s="38">
        <v>0.79</v>
      </c>
      <c r="S14" s="38">
        <v>1.49</v>
      </c>
      <c r="T14" s="38"/>
      <c r="U14" s="38"/>
      <c r="V14" s="38"/>
      <c r="W14" s="38"/>
      <c r="X14" s="38"/>
      <c r="Y14" s="30"/>
    </row>
    <row r="15" spans="1:25" s="14" customFormat="1" x14ac:dyDescent="0.35">
      <c r="A15" s="30" t="s">
        <v>119</v>
      </c>
      <c r="B15" s="30" t="s">
        <v>120</v>
      </c>
      <c r="C15" s="30"/>
      <c r="D15" s="30" t="s">
        <v>121</v>
      </c>
      <c r="E15" s="30" t="s">
        <v>123</v>
      </c>
      <c r="F15" s="30" t="s">
        <v>6</v>
      </c>
      <c r="G15" s="38">
        <v>2.6</v>
      </c>
      <c r="H15" s="38">
        <v>1.7</v>
      </c>
      <c r="I15" s="38">
        <v>64</v>
      </c>
      <c r="J15" s="38">
        <v>80</v>
      </c>
      <c r="K15" s="142">
        <v>20</v>
      </c>
      <c r="L15" s="38">
        <v>332</v>
      </c>
      <c r="M15" s="38">
        <v>200</v>
      </c>
      <c r="N15" s="38"/>
      <c r="O15" s="38"/>
      <c r="P15" s="141" t="s">
        <v>66</v>
      </c>
      <c r="Q15" s="30">
        <v>2.2999999999999998</v>
      </c>
      <c r="R15" s="38"/>
      <c r="S15" s="38"/>
      <c r="T15" s="38"/>
      <c r="U15" s="38"/>
      <c r="V15" s="38"/>
      <c r="W15" s="38"/>
      <c r="X15" s="38"/>
      <c r="Y15" s="30"/>
    </row>
    <row r="16" spans="1:25" s="14" customFormat="1" x14ac:dyDescent="0.35">
      <c r="A16" s="30" t="s">
        <v>119</v>
      </c>
      <c r="B16" s="30" t="s">
        <v>120</v>
      </c>
      <c r="C16" s="30"/>
      <c r="D16" s="30" t="s">
        <v>121</v>
      </c>
      <c r="E16" s="30" t="s">
        <v>123</v>
      </c>
      <c r="F16" s="30" t="s">
        <v>6</v>
      </c>
      <c r="G16" s="38">
        <v>0.95</v>
      </c>
      <c r="H16" s="38">
        <v>0.97</v>
      </c>
      <c r="I16" s="38">
        <v>58</v>
      </c>
      <c r="J16" s="38">
        <v>78</v>
      </c>
      <c r="K16" s="142">
        <v>10</v>
      </c>
      <c r="L16" s="38">
        <v>188.31</v>
      </c>
      <c r="M16" s="38">
        <v>99.64</v>
      </c>
      <c r="N16" s="38"/>
      <c r="O16" s="38"/>
      <c r="P16" s="141" t="s">
        <v>66</v>
      </c>
      <c r="Q16" s="30"/>
      <c r="R16" s="38"/>
      <c r="S16" s="38"/>
      <c r="T16" s="38"/>
      <c r="U16" s="38"/>
      <c r="V16" s="38"/>
      <c r="W16" s="38"/>
      <c r="X16" s="38"/>
      <c r="Y16" s="30"/>
    </row>
    <row r="17" spans="1:25" s="14" customFormat="1" x14ac:dyDescent="0.35">
      <c r="A17" s="30" t="s">
        <v>119</v>
      </c>
      <c r="B17" s="30" t="s">
        <v>120</v>
      </c>
      <c r="C17" s="30">
        <v>2341514</v>
      </c>
      <c r="D17" s="30" t="s">
        <v>121</v>
      </c>
      <c r="E17" s="30" t="s">
        <v>123</v>
      </c>
      <c r="F17" s="30" t="s">
        <v>6</v>
      </c>
      <c r="G17" s="38">
        <v>3.55</v>
      </c>
      <c r="H17" s="38">
        <v>2.0099999999999998</v>
      </c>
      <c r="I17" s="38">
        <v>67</v>
      </c>
      <c r="J17" s="38">
        <v>78</v>
      </c>
      <c r="K17" s="142">
        <v>24</v>
      </c>
      <c r="L17" s="38">
        <v>313</v>
      </c>
      <c r="M17" s="38">
        <v>203</v>
      </c>
      <c r="N17" s="38">
        <v>6.9009584664536744E-2</v>
      </c>
      <c r="O17" s="38">
        <v>3.9408866995073889E-3</v>
      </c>
      <c r="P17" s="141" t="s">
        <v>66</v>
      </c>
      <c r="Q17" s="30">
        <v>2.2400000000000002</v>
      </c>
      <c r="R17" s="38">
        <v>1.87</v>
      </c>
      <c r="S17" s="38">
        <v>2.61</v>
      </c>
      <c r="T17" s="38"/>
      <c r="U17" s="38"/>
      <c r="V17" s="38"/>
      <c r="W17" s="38"/>
      <c r="X17" s="38"/>
      <c r="Y17" s="30"/>
    </row>
    <row r="18" spans="1:25" s="14" customFormat="1" x14ac:dyDescent="0.35">
      <c r="A18" s="30" t="s">
        <v>119</v>
      </c>
      <c r="B18" s="30" t="s">
        <v>120</v>
      </c>
      <c r="C18" s="30"/>
      <c r="D18" s="30" t="s">
        <v>121</v>
      </c>
      <c r="E18" s="30" t="s">
        <v>122</v>
      </c>
      <c r="F18" s="30" t="s">
        <v>6</v>
      </c>
      <c r="G18" s="38">
        <v>1.81</v>
      </c>
      <c r="H18" s="38">
        <v>1.69</v>
      </c>
      <c r="I18" s="38">
        <v>68</v>
      </c>
      <c r="J18" s="38">
        <v>81</v>
      </c>
      <c r="K18" s="142">
        <v>20</v>
      </c>
      <c r="L18" s="38">
        <v>220</v>
      </c>
      <c r="M18" s="38">
        <v>200</v>
      </c>
      <c r="N18" s="38"/>
      <c r="O18" s="38"/>
      <c r="P18" s="141" t="s">
        <v>66</v>
      </c>
      <c r="Q18" s="30">
        <v>1.43</v>
      </c>
      <c r="R18" s="38"/>
      <c r="S18" s="38"/>
      <c r="T18" s="38"/>
      <c r="U18" s="38"/>
      <c r="V18" s="38"/>
      <c r="W18" s="38"/>
      <c r="X18" s="38"/>
      <c r="Y18" s="30"/>
    </row>
    <row r="19" spans="1:25" s="14" customFormat="1" x14ac:dyDescent="0.35">
      <c r="A19" s="30" t="s">
        <v>119</v>
      </c>
      <c r="B19" s="30" t="s">
        <v>120</v>
      </c>
      <c r="C19" s="30"/>
      <c r="D19" s="30" t="s">
        <v>121</v>
      </c>
      <c r="E19" s="30" t="s">
        <v>123</v>
      </c>
      <c r="F19" s="30" t="s">
        <v>6</v>
      </c>
      <c r="G19" s="38">
        <v>1.64</v>
      </c>
      <c r="H19" s="38">
        <v>1.06</v>
      </c>
      <c r="I19" s="38">
        <v>56</v>
      </c>
      <c r="J19" s="38">
        <v>81</v>
      </c>
      <c r="K19" s="142">
        <v>10</v>
      </c>
      <c r="L19" s="38">
        <v>137.63</v>
      </c>
      <c r="M19" s="38">
        <v>99.49</v>
      </c>
      <c r="N19" s="38"/>
      <c r="O19" s="38"/>
      <c r="P19" s="141" t="s">
        <v>66</v>
      </c>
      <c r="Q19" s="30"/>
      <c r="R19" s="38"/>
      <c r="S19" s="38"/>
      <c r="T19" s="38"/>
      <c r="U19" s="38"/>
      <c r="V19" s="38"/>
      <c r="W19" s="38"/>
      <c r="X19" s="38"/>
      <c r="Y19" s="30"/>
    </row>
    <row r="20" spans="1:25" s="14" customFormat="1" x14ac:dyDescent="0.35">
      <c r="A20" s="30" t="s">
        <v>119</v>
      </c>
      <c r="B20" s="30" t="s">
        <v>120</v>
      </c>
      <c r="C20" s="30">
        <v>2289622</v>
      </c>
      <c r="D20" s="30" t="s">
        <v>121</v>
      </c>
      <c r="E20" s="30" t="s">
        <v>122</v>
      </c>
      <c r="F20" s="30" t="s">
        <v>6</v>
      </c>
      <c r="G20" s="38">
        <v>2.13</v>
      </c>
      <c r="H20" s="38">
        <v>1.1100000000000001</v>
      </c>
      <c r="I20" s="38">
        <v>68</v>
      </c>
      <c r="J20" s="38">
        <v>85</v>
      </c>
      <c r="K20" s="142">
        <v>20</v>
      </c>
      <c r="L20" s="38">
        <v>252.67</v>
      </c>
      <c r="M20" s="38">
        <v>197.71</v>
      </c>
      <c r="N20" s="186">
        <v>0.11714885027902007</v>
      </c>
      <c r="O20" s="186">
        <v>0</v>
      </c>
      <c r="P20" s="141" t="s">
        <v>66</v>
      </c>
      <c r="Q20" s="30"/>
      <c r="R20" s="38"/>
      <c r="S20" s="38"/>
      <c r="T20" s="38"/>
      <c r="U20" s="38"/>
      <c r="V20" s="38"/>
      <c r="W20" s="38"/>
      <c r="X20" s="38"/>
      <c r="Y20" s="30"/>
    </row>
    <row r="21" spans="1:25" s="14" customFormat="1" x14ac:dyDescent="0.35">
      <c r="A21" s="30" t="s">
        <v>119</v>
      </c>
      <c r="B21" s="30" t="s">
        <v>120</v>
      </c>
      <c r="C21" s="30">
        <v>2289623</v>
      </c>
      <c r="D21" s="30" t="s">
        <v>121</v>
      </c>
      <c r="E21" s="30" t="s">
        <v>123</v>
      </c>
      <c r="F21" s="30" t="s">
        <v>6</v>
      </c>
      <c r="G21" s="38">
        <v>3.24</v>
      </c>
      <c r="H21" s="38">
        <v>1.81</v>
      </c>
      <c r="I21" s="38">
        <v>60</v>
      </c>
      <c r="J21" s="38">
        <v>78</v>
      </c>
      <c r="K21" s="142">
        <v>20</v>
      </c>
      <c r="L21" s="38">
        <v>336.2</v>
      </c>
      <c r="M21" s="38">
        <v>184.68</v>
      </c>
      <c r="N21" s="38">
        <v>0.17846519928613921</v>
      </c>
      <c r="O21" s="38">
        <v>0</v>
      </c>
      <c r="P21" s="141" t="s">
        <v>66</v>
      </c>
      <c r="Q21" s="30"/>
      <c r="R21" s="38"/>
      <c r="S21" s="38"/>
      <c r="T21" s="38"/>
      <c r="U21" s="38"/>
      <c r="V21" s="38"/>
      <c r="W21" s="38"/>
      <c r="X21" s="38"/>
      <c r="Y21" s="30"/>
    </row>
    <row r="22" spans="1:25" s="14" customFormat="1" x14ac:dyDescent="0.35">
      <c r="A22" s="30" t="s">
        <v>119</v>
      </c>
      <c r="B22" s="30" t="s">
        <v>120</v>
      </c>
      <c r="C22" s="30">
        <v>2289624</v>
      </c>
      <c r="D22" s="30" t="s">
        <v>121</v>
      </c>
      <c r="E22" s="30" t="s">
        <v>123</v>
      </c>
      <c r="F22" s="30" t="s">
        <v>6</v>
      </c>
      <c r="G22" s="38">
        <v>1.0900000000000001</v>
      </c>
      <c r="H22" s="38">
        <v>0.63</v>
      </c>
      <c r="I22" s="38">
        <v>62</v>
      </c>
      <c r="J22" s="38">
        <v>81</v>
      </c>
      <c r="K22" s="142">
        <v>6</v>
      </c>
      <c r="L22" s="38">
        <v>95.9</v>
      </c>
      <c r="M22" s="38">
        <v>56</v>
      </c>
      <c r="N22" s="38">
        <v>0.16684045881126169</v>
      </c>
      <c r="O22" s="38">
        <v>0</v>
      </c>
      <c r="P22" s="141" t="s">
        <v>66</v>
      </c>
      <c r="Q22" s="30"/>
      <c r="R22" s="38"/>
      <c r="S22" s="38"/>
      <c r="T22" s="38"/>
      <c r="U22" s="38"/>
      <c r="V22" s="38"/>
      <c r="W22" s="38"/>
      <c r="X22" s="38"/>
      <c r="Y22" s="30"/>
    </row>
    <row r="23" spans="1:25" s="14" customFormat="1" x14ac:dyDescent="0.35">
      <c r="A23" s="30" t="s">
        <v>119</v>
      </c>
      <c r="B23" s="30" t="s">
        <v>120</v>
      </c>
      <c r="C23" s="30">
        <v>2289620</v>
      </c>
      <c r="D23" s="30" t="s">
        <v>121</v>
      </c>
      <c r="E23" s="30" t="s">
        <v>122</v>
      </c>
      <c r="F23" s="30" t="s">
        <v>6</v>
      </c>
      <c r="G23" s="38">
        <v>2.04</v>
      </c>
      <c r="H23" s="38">
        <v>0.89</v>
      </c>
      <c r="I23" s="38">
        <v>59</v>
      </c>
      <c r="J23" s="38">
        <v>85</v>
      </c>
      <c r="K23" s="142">
        <v>12</v>
      </c>
      <c r="L23" s="38">
        <v>179.76</v>
      </c>
      <c r="M23" s="38">
        <v>123.59</v>
      </c>
      <c r="N23" s="38">
        <v>0.19581664441477531</v>
      </c>
      <c r="O23" s="38">
        <v>0</v>
      </c>
      <c r="P23" s="141" t="s">
        <v>66</v>
      </c>
      <c r="Q23" s="30"/>
      <c r="R23" s="38"/>
      <c r="S23" s="38"/>
      <c r="T23" s="38"/>
      <c r="U23" s="38"/>
      <c r="V23" s="38"/>
      <c r="W23" s="38"/>
      <c r="X23" s="38"/>
      <c r="Y23" s="30"/>
    </row>
    <row r="24" spans="1:25" s="14" customFormat="1" x14ac:dyDescent="0.35">
      <c r="A24" s="30" t="s">
        <v>119</v>
      </c>
      <c r="B24" s="30" t="s">
        <v>120</v>
      </c>
      <c r="C24" s="30">
        <v>2289627</v>
      </c>
      <c r="D24" s="30" t="s">
        <v>121</v>
      </c>
      <c r="E24" s="30" t="s">
        <v>123</v>
      </c>
      <c r="F24" s="30" t="s">
        <v>6</v>
      </c>
      <c r="G24" s="38">
        <v>1.35</v>
      </c>
      <c r="H24" s="38">
        <v>0.59</v>
      </c>
      <c r="I24" s="38">
        <v>63</v>
      </c>
      <c r="J24" s="38">
        <v>78</v>
      </c>
      <c r="K24" s="142">
        <v>6</v>
      </c>
      <c r="L24" s="38">
        <v>78</v>
      </c>
      <c r="M24" s="38">
        <v>57</v>
      </c>
      <c r="N24" s="38">
        <v>0.32205128205128208</v>
      </c>
      <c r="O24" s="38">
        <v>0</v>
      </c>
      <c r="P24" s="141" t="s">
        <v>66</v>
      </c>
      <c r="Q24" s="38">
        <v>0.6</v>
      </c>
      <c r="R24" s="38"/>
      <c r="S24" s="38"/>
      <c r="T24" s="38"/>
      <c r="U24" s="38"/>
      <c r="V24" s="38"/>
      <c r="W24" s="38"/>
      <c r="X24" s="38"/>
      <c r="Y24" s="30"/>
    </row>
    <row r="25" spans="1:25" s="14" customFormat="1" x14ac:dyDescent="0.35">
      <c r="A25" s="30" t="s">
        <v>119</v>
      </c>
      <c r="B25" s="30" t="s">
        <v>120</v>
      </c>
      <c r="C25" s="30"/>
      <c r="D25" s="30" t="s">
        <v>121</v>
      </c>
      <c r="E25" s="30" t="s">
        <v>122</v>
      </c>
      <c r="F25" s="30" t="s">
        <v>6</v>
      </c>
      <c r="G25" s="38">
        <v>1.88</v>
      </c>
      <c r="H25" s="38">
        <v>1.88</v>
      </c>
      <c r="I25" s="38">
        <v>65</v>
      </c>
      <c r="J25" s="38">
        <v>83</v>
      </c>
      <c r="K25" s="142">
        <v>20</v>
      </c>
      <c r="L25" s="38">
        <v>365.9</v>
      </c>
      <c r="M25" s="38">
        <v>193.8</v>
      </c>
      <c r="N25" s="38"/>
      <c r="O25" s="38"/>
      <c r="P25" s="141" t="s">
        <v>66</v>
      </c>
      <c r="Q25" s="30">
        <v>1.56</v>
      </c>
      <c r="R25" s="38"/>
      <c r="S25" s="38"/>
      <c r="T25" s="38"/>
      <c r="U25" s="38"/>
      <c r="V25" s="38"/>
      <c r="W25" s="38"/>
      <c r="X25" s="38"/>
      <c r="Y25" s="30"/>
    </row>
    <row r="26" spans="1:25" s="14" customFormat="1" x14ac:dyDescent="0.35">
      <c r="A26" s="30" t="s">
        <v>119</v>
      </c>
      <c r="B26" s="30" t="s">
        <v>120</v>
      </c>
      <c r="C26" s="30">
        <v>2294241</v>
      </c>
      <c r="D26" s="30" t="s">
        <v>121</v>
      </c>
      <c r="E26" s="30" t="s">
        <v>122</v>
      </c>
      <c r="F26" s="30" t="s">
        <v>6</v>
      </c>
      <c r="G26" s="38">
        <v>3.02</v>
      </c>
      <c r="H26" s="38">
        <v>1.97</v>
      </c>
      <c r="I26" s="38">
        <v>61</v>
      </c>
      <c r="J26" s="38">
        <v>78</v>
      </c>
      <c r="K26" s="142">
        <v>20</v>
      </c>
      <c r="L26" s="38">
        <v>331.09</v>
      </c>
      <c r="M26" s="38">
        <v>233.8</v>
      </c>
      <c r="N26" s="38">
        <v>0.11066477392853907</v>
      </c>
      <c r="O26" s="38">
        <v>0</v>
      </c>
      <c r="P26" s="141" t="s">
        <v>66</v>
      </c>
      <c r="Q26" s="30"/>
      <c r="R26" s="38"/>
      <c r="S26" s="38"/>
      <c r="T26" s="38"/>
      <c r="U26" s="38"/>
      <c r="V26" s="38"/>
      <c r="W26" s="38"/>
      <c r="X26" s="38"/>
      <c r="Y26" s="30"/>
    </row>
    <row r="27" spans="1:25" s="14" customFormat="1" x14ac:dyDescent="0.35">
      <c r="A27" s="30" t="s">
        <v>119</v>
      </c>
      <c r="B27" s="30" t="s">
        <v>120</v>
      </c>
      <c r="C27" s="30">
        <v>2327174</v>
      </c>
      <c r="D27" s="30" t="s">
        <v>121</v>
      </c>
      <c r="E27" s="30" t="s">
        <v>122</v>
      </c>
      <c r="F27" s="30" t="s">
        <v>6</v>
      </c>
      <c r="G27" s="38">
        <v>2.41</v>
      </c>
      <c r="H27" s="38">
        <v>1.97</v>
      </c>
      <c r="I27" s="38">
        <v>62</v>
      </c>
      <c r="J27" s="38">
        <v>78</v>
      </c>
      <c r="K27" s="142">
        <v>20</v>
      </c>
      <c r="L27" s="38">
        <v>124.54</v>
      </c>
      <c r="M27" s="38">
        <v>233.8</v>
      </c>
      <c r="N27" s="38">
        <v>0.43102617632889034</v>
      </c>
      <c r="O27" s="38">
        <v>0</v>
      </c>
      <c r="P27" s="141" t="s">
        <v>66</v>
      </c>
      <c r="Q27" s="30"/>
      <c r="R27" s="38"/>
      <c r="S27" s="38"/>
      <c r="T27" s="38"/>
      <c r="U27" s="38"/>
      <c r="V27" s="38"/>
      <c r="W27" s="38"/>
      <c r="X27" s="38"/>
      <c r="Y27" s="30"/>
    </row>
    <row r="28" spans="1:25" s="14" customFormat="1" x14ac:dyDescent="0.35">
      <c r="A28" s="30" t="s">
        <v>119</v>
      </c>
      <c r="B28" s="30" t="s">
        <v>120</v>
      </c>
      <c r="C28" s="30">
        <v>2327297</v>
      </c>
      <c r="D28" s="30" t="s">
        <v>121</v>
      </c>
      <c r="E28" s="30" t="s">
        <v>122</v>
      </c>
      <c r="F28" s="30" t="s">
        <v>6</v>
      </c>
      <c r="G28" s="38">
        <v>0.87</v>
      </c>
      <c r="H28" s="38">
        <v>0.95</v>
      </c>
      <c r="I28" s="38">
        <v>59</v>
      </c>
      <c r="J28" s="38">
        <v>81</v>
      </c>
      <c r="K28" s="142">
        <v>12</v>
      </c>
      <c r="L28" s="38">
        <v>236</v>
      </c>
      <c r="M28" s="38">
        <v>127</v>
      </c>
      <c r="N28" s="38">
        <v>6.5762711864406784E-2</v>
      </c>
      <c r="O28" s="38">
        <v>0</v>
      </c>
      <c r="P28" s="141" t="s">
        <v>66</v>
      </c>
      <c r="Q28" s="30">
        <v>1</v>
      </c>
      <c r="R28" s="38"/>
      <c r="S28" s="38"/>
      <c r="T28" s="38"/>
      <c r="U28" s="38"/>
      <c r="V28" s="38"/>
      <c r="W28" s="38"/>
      <c r="X28" s="38"/>
      <c r="Y28" s="30"/>
    </row>
    <row r="29" spans="1:25" s="14" customFormat="1" x14ac:dyDescent="0.35">
      <c r="A29" s="30" t="s">
        <v>119</v>
      </c>
      <c r="B29" s="30" t="s">
        <v>120</v>
      </c>
      <c r="C29" s="30"/>
      <c r="D29" s="30" t="s">
        <v>121</v>
      </c>
      <c r="E29" s="30" t="s">
        <v>122</v>
      </c>
      <c r="F29" s="30" t="s">
        <v>6</v>
      </c>
      <c r="G29" s="38">
        <v>0.84</v>
      </c>
      <c r="H29" s="38">
        <v>0.98</v>
      </c>
      <c r="I29" s="38">
        <v>57</v>
      </c>
      <c r="J29" s="38">
        <v>82</v>
      </c>
      <c r="K29" s="142">
        <v>12</v>
      </c>
      <c r="L29" s="38">
        <v>217.02</v>
      </c>
      <c r="M29" s="38">
        <v>116.6</v>
      </c>
      <c r="N29" s="38"/>
      <c r="O29" s="38"/>
      <c r="P29" s="141" t="s">
        <v>66</v>
      </c>
      <c r="Q29" s="30"/>
      <c r="R29" s="38"/>
      <c r="S29" s="38"/>
      <c r="T29" s="38"/>
      <c r="U29" s="38"/>
      <c r="V29" s="38"/>
      <c r="W29" s="38"/>
      <c r="X29" s="38"/>
      <c r="Y29" s="30"/>
    </row>
    <row r="30" spans="1:25" s="14" customFormat="1" x14ac:dyDescent="0.35">
      <c r="A30" s="30" t="s">
        <v>119</v>
      </c>
      <c r="B30" s="30" t="s">
        <v>120</v>
      </c>
      <c r="C30" s="30">
        <v>2359349</v>
      </c>
      <c r="D30" s="30" t="s">
        <v>121</v>
      </c>
      <c r="E30" s="30" t="s">
        <v>123</v>
      </c>
      <c r="F30" s="30" t="s">
        <v>6</v>
      </c>
      <c r="G30" s="38">
        <v>0.95</v>
      </c>
      <c r="H30" s="38">
        <v>0.97</v>
      </c>
      <c r="I30" s="38">
        <v>60</v>
      </c>
      <c r="J30" s="38">
        <v>80</v>
      </c>
      <c r="K30" s="142">
        <v>10</v>
      </c>
      <c r="L30" s="38">
        <v>202.6</v>
      </c>
      <c r="M30" s="38">
        <v>108.3</v>
      </c>
      <c r="N30" s="38">
        <v>0.10148075024679171</v>
      </c>
      <c r="O30" s="38">
        <v>0</v>
      </c>
      <c r="P30" s="141" t="s">
        <v>66</v>
      </c>
      <c r="Q30" s="30"/>
      <c r="R30" s="38"/>
      <c r="S30" s="38"/>
      <c r="T30" s="38"/>
      <c r="U30" s="38"/>
      <c r="V30" s="38"/>
      <c r="W30" s="38"/>
      <c r="X30" s="38"/>
      <c r="Y30" s="30"/>
    </row>
    <row r="31" spans="1:25" s="14" customFormat="1" x14ac:dyDescent="0.35">
      <c r="A31" s="30" t="s">
        <v>119</v>
      </c>
      <c r="B31" s="30" t="s">
        <v>120</v>
      </c>
      <c r="C31" s="30">
        <v>2359356</v>
      </c>
      <c r="D31" s="30" t="s">
        <v>121</v>
      </c>
      <c r="E31" s="30" t="s">
        <v>122</v>
      </c>
      <c r="F31" s="30" t="s">
        <v>6</v>
      </c>
      <c r="G31" s="38">
        <v>2.0299999999999998</v>
      </c>
      <c r="H31" s="38">
        <v>1.22</v>
      </c>
      <c r="I31" s="38">
        <v>64</v>
      </c>
      <c r="J31" s="38">
        <v>82</v>
      </c>
      <c r="K31" s="142">
        <v>20</v>
      </c>
      <c r="L31" s="38">
        <v>383</v>
      </c>
      <c r="M31" s="38">
        <v>206</v>
      </c>
      <c r="N31" s="38">
        <v>9.3159268929503908E-2</v>
      </c>
      <c r="O31" s="38">
        <v>0</v>
      </c>
      <c r="P31" s="141" t="s">
        <v>66</v>
      </c>
      <c r="Q31" s="30">
        <v>1.44</v>
      </c>
      <c r="R31" s="38"/>
      <c r="S31" s="38"/>
      <c r="T31" s="38"/>
      <c r="U31" s="38"/>
      <c r="V31" s="38"/>
      <c r="W31" s="38"/>
      <c r="X31" s="38"/>
      <c r="Y31" s="30"/>
    </row>
    <row r="32" spans="1:25" s="14" customFormat="1" x14ac:dyDescent="0.35">
      <c r="A32" s="30" t="s">
        <v>119</v>
      </c>
      <c r="B32" s="30" t="s">
        <v>120</v>
      </c>
      <c r="C32" s="30"/>
      <c r="D32" s="30" t="s">
        <v>121</v>
      </c>
      <c r="E32" s="30" t="s">
        <v>122</v>
      </c>
      <c r="F32" s="30" t="s">
        <v>6</v>
      </c>
      <c r="G32" s="38">
        <v>1.59</v>
      </c>
      <c r="H32" s="38">
        <v>1.27</v>
      </c>
      <c r="I32" s="38">
        <v>59</v>
      </c>
      <c r="J32" s="38">
        <v>82</v>
      </c>
      <c r="K32" s="142">
        <v>20</v>
      </c>
      <c r="L32" s="38">
        <v>368.77</v>
      </c>
      <c r="M32" s="38">
        <v>183.31</v>
      </c>
      <c r="N32" s="38"/>
      <c r="O32" s="38"/>
      <c r="P32" s="141" t="s">
        <v>66</v>
      </c>
      <c r="Q32" s="30"/>
      <c r="R32" s="38"/>
      <c r="S32" s="38"/>
      <c r="T32" s="38"/>
      <c r="U32" s="38"/>
      <c r="V32" s="38"/>
      <c r="W32" s="38"/>
      <c r="X32" s="38"/>
      <c r="Y32" s="30"/>
    </row>
    <row r="33" spans="1:25" s="14" customFormat="1" x14ac:dyDescent="0.35">
      <c r="A33" s="30" t="s">
        <v>119</v>
      </c>
      <c r="B33" s="30" t="s">
        <v>120</v>
      </c>
      <c r="C33" s="30">
        <v>2359350</v>
      </c>
      <c r="D33" s="30" t="s">
        <v>121</v>
      </c>
      <c r="E33" s="30" t="s">
        <v>122</v>
      </c>
      <c r="F33" s="30" t="s">
        <v>6</v>
      </c>
      <c r="G33" s="38">
        <v>3.76</v>
      </c>
      <c r="H33" s="38">
        <v>3</v>
      </c>
      <c r="I33" s="38">
        <v>66</v>
      </c>
      <c r="J33" s="38">
        <v>78</v>
      </c>
      <c r="K33" s="142">
        <v>40</v>
      </c>
      <c r="L33" s="38">
        <v>549.05999999999995</v>
      </c>
      <c r="M33" s="38">
        <v>392.16</v>
      </c>
      <c r="N33" s="38">
        <v>4.3711069828434056E-2</v>
      </c>
      <c r="O33" s="38">
        <v>0</v>
      </c>
      <c r="P33" s="141" t="s">
        <v>66</v>
      </c>
      <c r="Q33" s="30"/>
      <c r="R33" s="38"/>
      <c r="S33" s="38"/>
      <c r="T33" s="38"/>
      <c r="U33" s="38"/>
      <c r="V33" s="38"/>
      <c r="W33" s="38"/>
      <c r="X33" s="38"/>
      <c r="Y33" s="30"/>
    </row>
    <row r="34" spans="1:25" s="14" customFormat="1" x14ac:dyDescent="0.35">
      <c r="A34" s="30" t="s">
        <v>119</v>
      </c>
      <c r="B34" s="30" t="s">
        <v>120</v>
      </c>
      <c r="C34" s="30"/>
      <c r="D34" s="30" t="s">
        <v>121</v>
      </c>
      <c r="E34" s="30" t="s">
        <v>123</v>
      </c>
      <c r="F34" s="30" t="s">
        <v>6</v>
      </c>
      <c r="G34" s="38">
        <v>2</v>
      </c>
      <c r="H34" s="38">
        <v>1.32</v>
      </c>
      <c r="I34" s="38">
        <v>63</v>
      </c>
      <c r="J34" s="38">
        <v>79</v>
      </c>
      <c r="K34" s="142">
        <v>12</v>
      </c>
      <c r="L34" s="38">
        <v>202</v>
      </c>
      <c r="M34" s="38">
        <v>128</v>
      </c>
      <c r="N34" s="38"/>
      <c r="O34" s="38"/>
      <c r="P34" s="141" t="s">
        <v>66</v>
      </c>
      <c r="Q34" s="30"/>
      <c r="R34" s="38"/>
      <c r="S34" s="38"/>
      <c r="T34" s="38"/>
      <c r="U34" s="38"/>
      <c r="V34" s="38"/>
      <c r="W34" s="38"/>
      <c r="X34" s="38"/>
      <c r="Y34" s="30"/>
    </row>
    <row r="35" spans="1:25" s="14" customFormat="1" x14ac:dyDescent="0.35">
      <c r="A35" s="30" t="s">
        <v>119</v>
      </c>
      <c r="B35" s="30" t="s">
        <v>120</v>
      </c>
      <c r="C35" s="30"/>
      <c r="D35" s="30" t="s">
        <v>121</v>
      </c>
      <c r="E35" s="30" t="s">
        <v>123</v>
      </c>
      <c r="F35" s="30" t="s">
        <v>6</v>
      </c>
      <c r="G35" s="38">
        <v>1.1299999999999999</v>
      </c>
      <c r="H35" s="38">
        <v>1.01</v>
      </c>
      <c r="I35" s="38">
        <v>68</v>
      </c>
      <c r="J35" s="38">
        <v>81</v>
      </c>
      <c r="K35" s="142">
        <v>10</v>
      </c>
      <c r="L35" s="38">
        <v>179</v>
      </c>
      <c r="M35" s="38">
        <v>96.6</v>
      </c>
      <c r="N35" s="38"/>
      <c r="O35" s="38"/>
      <c r="P35" s="141" t="s">
        <v>66</v>
      </c>
      <c r="Q35" s="30"/>
      <c r="R35" s="38"/>
      <c r="S35" s="38"/>
      <c r="T35" s="38"/>
      <c r="U35" s="38"/>
      <c r="V35" s="38"/>
      <c r="W35" s="38"/>
      <c r="X35" s="38"/>
      <c r="Y35" s="30"/>
    </row>
    <row r="36" spans="1:25" s="14" customFormat="1" x14ac:dyDescent="0.35">
      <c r="A36" s="30" t="s">
        <v>119</v>
      </c>
      <c r="B36" s="30" t="s">
        <v>120</v>
      </c>
      <c r="C36" s="30">
        <v>2331756</v>
      </c>
      <c r="D36" s="30" t="s">
        <v>121</v>
      </c>
      <c r="E36" s="30" t="s">
        <v>122</v>
      </c>
      <c r="F36" s="30" t="s">
        <v>6</v>
      </c>
      <c r="G36" s="38">
        <v>1.33</v>
      </c>
      <c r="H36" s="38">
        <v>1.1299999999999999</v>
      </c>
      <c r="I36" s="38">
        <v>65</v>
      </c>
      <c r="J36" s="38">
        <v>79</v>
      </c>
      <c r="K36" s="142">
        <v>12</v>
      </c>
      <c r="L36" s="38">
        <v>179.1</v>
      </c>
      <c r="M36" s="38">
        <v>116.6</v>
      </c>
      <c r="N36" s="38">
        <v>0.4690117252931324</v>
      </c>
      <c r="O36" s="38">
        <v>0</v>
      </c>
      <c r="P36" s="141" t="s">
        <v>66</v>
      </c>
      <c r="Q36" s="30">
        <v>0.95</v>
      </c>
      <c r="R36" s="38"/>
      <c r="S36" s="38"/>
      <c r="T36" s="38"/>
      <c r="U36" s="38"/>
      <c r="V36" s="38"/>
      <c r="W36" s="38"/>
      <c r="X36" s="38"/>
      <c r="Y36" s="30"/>
    </row>
    <row r="37" spans="1:25" s="14" customFormat="1" x14ac:dyDescent="0.35">
      <c r="A37" s="30" t="s">
        <v>119</v>
      </c>
      <c r="B37" s="30" t="s">
        <v>120</v>
      </c>
      <c r="C37" s="30">
        <v>2263533</v>
      </c>
      <c r="D37" s="30" t="s">
        <v>121</v>
      </c>
      <c r="E37" s="30" t="s">
        <v>122</v>
      </c>
      <c r="F37" s="30" t="s">
        <v>6</v>
      </c>
      <c r="G37" s="38">
        <v>1.65</v>
      </c>
      <c r="H37" s="38">
        <v>1.57</v>
      </c>
      <c r="I37" s="38">
        <v>63</v>
      </c>
      <c r="J37" s="38">
        <v>83</v>
      </c>
      <c r="K37" s="142">
        <v>20</v>
      </c>
      <c r="L37" s="38">
        <v>287.39999999999998</v>
      </c>
      <c r="M37" s="38">
        <v>191.7</v>
      </c>
      <c r="N37" s="38">
        <v>0.13639526791927628</v>
      </c>
      <c r="O37" s="38">
        <v>0.13771517996870108</v>
      </c>
      <c r="P37" s="141" t="s">
        <v>66</v>
      </c>
      <c r="Q37" s="30">
        <v>1.54</v>
      </c>
      <c r="R37" s="38"/>
      <c r="S37" s="38"/>
      <c r="T37" s="38"/>
      <c r="U37" s="38"/>
      <c r="V37" s="38"/>
      <c r="W37" s="38"/>
      <c r="X37" s="38"/>
      <c r="Y37" s="30"/>
    </row>
    <row r="38" spans="1:25" s="14" customFormat="1" x14ac:dyDescent="0.35">
      <c r="A38" s="30" t="s">
        <v>119</v>
      </c>
      <c r="B38" s="30" t="s">
        <v>120</v>
      </c>
      <c r="C38" s="30">
        <v>2263534</v>
      </c>
      <c r="D38" s="30" t="s">
        <v>121</v>
      </c>
      <c r="E38" s="30" t="s">
        <v>123</v>
      </c>
      <c r="F38" s="30" t="s">
        <v>6</v>
      </c>
      <c r="G38" s="38">
        <v>1.1399999999999999</v>
      </c>
      <c r="H38" s="38">
        <v>1.08</v>
      </c>
      <c r="I38" s="38">
        <v>71</v>
      </c>
      <c r="J38" s="38">
        <v>78</v>
      </c>
      <c r="K38" s="142">
        <v>10</v>
      </c>
      <c r="L38" s="38">
        <v>158.6</v>
      </c>
      <c r="M38" s="38">
        <v>101.7</v>
      </c>
      <c r="N38" s="38">
        <v>0.86759142496847419</v>
      </c>
      <c r="O38" s="38">
        <v>0</v>
      </c>
      <c r="P38" s="141" t="s">
        <v>66</v>
      </c>
      <c r="Q38" s="30"/>
      <c r="R38" s="38"/>
      <c r="S38" s="38"/>
      <c r="T38" s="38"/>
      <c r="U38" s="38"/>
      <c r="V38" s="38"/>
      <c r="W38" s="38"/>
      <c r="X38" s="38"/>
      <c r="Y38" s="30"/>
    </row>
    <row r="39" spans="1:25" s="14" customFormat="1" x14ac:dyDescent="0.35">
      <c r="A39" s="30" t="s">
        <v>119</v>
      </c>
      <c r="B39" s="30" t="s">
        <v>120</v>
      </c>
      <c r="C39" s="30">
        <v>2295146</v>
      </c>
      <c r="D39" s="30" t="s">
        <v>121</v>
      </c>
      <c r="E39" s="30" t="s">
        <v>122</v>
      </c>
      <c r="F39" s="30" t="s">
        <v>6</v>
      </c>
      <c r="G39" s="38">
        <v>1.65</v>
      </c>
      <c r="H39" s="38">
        <v>1.57</v>
      </c>
      <c r="I39" s="38">
        <v>63</v>
      </c>
      <c r="J39" s="38">
        <v>83</v>
      </c>
      <c r="K39" s="142">
        <v>20</v>
      </c>
      <c r="L39" s="38">
        <v>287.39999999999998</v>
      </c>
      <c r="M39" s="38">
        <v>191.7</v>
      </c>
      <c r="N39" s="38">
        <v>0.14669450243562976</v>
      </c>
      <c r="O39" s="38">
        <v>0</v>
      </c>
      <c r="P39" s="141" t="s">
        <v>66</v>
      </c>
      <c r="Q39" s="30"/>
      <c r="R39" s="38"/>
      <c r="S39" s="38"/>
      <c r="T39" s="38"/>
      <c r="U39" s="38"/>
      <c r="V39" s="38"/>
      <c r="W39" s="38"/>
      <c r="X39" s="38"/>
      <c r="Y39" s="30"/>
    </row>
    <row r="40" spans="1:25" s="14" customFormat="1" x14ac:dyDescent="0.35">
      <c r="A40" s="30" t="s">
        <v>119</v>
      </c>
      <c r="B40" s="30" t="s">
        <v>120</v>
      </c>
      <c r="C40" s="30">
        <v>2252007</v>
      </c>
      <c r="D40" s="30" t="s">
        <v>121</v>
      </c>
      <c r="E40" s="30" t="s">
        <v>123</v>
      </c>
      <c r="F40" s="30" t="s">
        <v>6</v>
      </c>
      <c r="G40" s="38">
        <v>0.66</v>
      </c>
      <c r="H40" s="38">
        <v>0.73</v>
      </c>
      <c r="I40" s="38">
        <v>65</v>
      </c>
      <c r="J40" s="38">
        <v>81</v>
      </c>
      <c r="K40" s="142">
        <v>5</v>
      </c>
      <c r="L40" s="38">
        <v>65.3</v>
      </c>
      <c r="M40" s="38">
        <v>49.7</v>
      </c>
      <c r="N40" s="38">
        <v>2.4502297090352225E-2</v>
      </c>
      <c r="O40" s="38">
        <v>0</v>
      </c>
      <c r="P40" s="141" t="s">
        <v>66</v>
      </c>
      <c r="Q40" s="30"/>
      <c r="R40" s="38"/>
      <c r="S40" s="38"/>
      <c r="T40" s="38"/>
      <c r="U40" s="38"/>
      <c r="V40" s="38"/>
      <c r="W40" s="38"/>
      <c r="X40" s="38"/>
      <c r="Y40" s="30"/>
    </row>
    <row r="41" spans="1:25" s="14" customFormat="1" x14ac:dyDescent="0.35">
      <c r="A41" s="30" t="s">
        <v>119</v>
      </c>
      <c r="B41" s="30" t="s">
        <v>120</v>
      </c>
      <c r="C41" s="30">
        <v>2295145</v>
      </c>
      <c r="D41" s="30" t="s">
        <v>121</v>
      </c>
      <c r="E41" s="30" t="s">
        <v>122</v>
      </c>
      <c r="F41" s="30" t="s">
        <v>6</v>
      </c>
      <c r="G41" s="38">
        <v>2.66</v>
      </c>
      <c r="H41" s="38">
        <v>2.86</v>
      </c>
      <c r="I41" s="38">
        <v>72.010000000000005</v>
      </c>
      <c r="J41" s="38">
        <v>84.5</v>
      </c>
      <c r="K41" s="142">
        <v>32</v>
      </c>
      <c r="L41" s="38">
        <v>279.07</v>
      </c>
      <c r="M41" s="38">
        <v>274.05</v>
      </c>
      <c r="N41" s="38">
        <v>9.746658544451213E-2</v>
      </c>
      <c r="O41" s="38">
        <v>0.41160372194854949</v>
      </c>
      <c r="P41" s="141" t="s">
        <v>66</v>
      </c>
      <c r="Q41" s="30"/>
      <c r="R41" s="38"/>
      <c r="S41" s="38"/>
      <c r="T41" s="38"/>
      <c r="U41" s="38"/>
      <c r="V41" s="38"/>
      <c r="W41" s="38"/>
      <c r="X41" s="38"/>
      <c r="Y41" s="30"/>
    </row>
    <row r="42" spans="1:25" s="14" customFormat="1" x14ac:dyDescent="0.35">
      <c r="A42" s="30" t="s">
        <v>119</v>
      </c>
      <c r="B42" s="30" t="s">
        <v>120</v>
      </c>
      <c r="C42" s="30"/>
      <c r="D42" s="30" t="s">
        <v>121</v>
      </c>
      <c r="E42" s="30" t="s">
        <v>122</v>
      </c>
      <c r="F42" s="30" t="s">
        <v>6</v>
      </c>
      <c r="G42" s="38">
        <v>2.6</v>
      </c>
      <c r="H42" s="38">
        <v>2</v>
      </c>
      <c r="I42" s="38">
        <v>64</v>
      </c>
      <c r="J42" s="38">
        <v>79</v>
      </c>
      <c r="K42" s="142">
        <v>20</v>
      </c>
      <c r="L42" s="38"/>
      <c r="M42" s="38"/>
      <c r="N42" s="38"/>
      <c r="O42" s="38"/>
      <c r="P42" s="141" t="s">
        <v>66</v>
      </c>
      <c r="Q42" s="30"/>
      <c r="R42" s="38"/>
      <c r="S42" s="38"/>
      <c r="T42" s="38"/>
      <c r="U42" s="38"/>
      <c r="V42" s="38"/>
      <c r="W42" s="38"/>
      <c r="X42" s="38"/>
      <c r="Y42" s="30"/>
    </row>
    <row r="43" spans="1:25" s="163" customFormat="1" x14ac:dyDescent="0.35">
      <c r="A43" s="30" t="s">
        <v>119</v>
      </c>
      <c r="B43" s="30" t="s">
        <v>120</v>
      </c>
      <c r="C43" s="30"/>
      <c r="D43" s="30" t="s">
        <v>121</v>
      </c>
      <c r="E43" s="30" t="s">
        <v>122</v>
      </c>
      <c r="F43" s="30" t="s">
        <v>6</v>
      </c>
      <c r="G43" s="38">
        <v>3.07</v>
      </c>
      <c r="H43" s="38">
        <v>1.8</v>
      </c>
      <c r="I43" s="38">
        <v>63</v>
      </c>
      <c r="J43" s="38">
        <v>82.199999999999989</v>
      </c>
      <c r="K43" s="142">
        <v>20</v>
      </c>
      <c r="L43" s="38"/>
      <c r="M43" s="38"/>
      <c r="N43" s="38"/>
      <c r="O43" s="38"/>
      <c r="P43" s="141" t="s">
        <v>66</v>
      </c>
      <c r="Q43" s="30"/>
      <c r="R43" s="38"/>
      <c r="S43" s="38"/>
      <c r="T43" s="38"/>
      <c r="U43" s="38"/>
      <c r="V43" s="38"/>
      <c r="W43" s="38"/>
      <c r="X43" s="38"/>
      <c r="Y43" s="30"/>
    </row>
    <row r="44" spans="1:25" s="163" customFormat="1" x14ac:dyDescent="0.35">
      <c r="A44" s="30" t="s">
        <v>119</v>
      </c>
      <c r="B44" s="30" t="s">
        <v>120</v>
      </c>
      <c r="C44" s="30"/>
      <c r="D44" s="30" t="s">
        <v>121</v>
      </c>
      <c r="E44" s="30" t="s">
        <v>122</v>
      </c>
      <c r="F44" s="30" t="s">
        <v>6</v>
      </c>
      <c r="G44" s="38">
        <v>2.13</v>
      </c>
      <c r="H44" s="38">
        <v>1.56</v>
      </c>
      <c r="I44" s="38">
        <v>61</v>
      </c>
      <c r="J44" s="38">
        <v>79</v>
      </c>
      <c r="K44" s="142">
        <v>14</v>
      </c>
      <c r="L44" s="38">
        <v>204</v>
      </c>
      <c r="M44" s="38">
        <v>141</v>
      </c>
      <c r="N44" s="38"/>
      <c r="O44" s="38"/>
      <c r="P44" s="141" t="s">
        <v>65</v>
      </c>
      <c r="Q44" s="38">
        <v>1.22</v>
      </c>
      <c r="R44" s="38"/>
      <c r="S44" s="38"/>
      <c r="T44" s="38"/>
      <c r="U44" s="38"/>
      <c r="V44" s="38"/>
      <c r="W44" s="38"/>
      <c r="X44" s="38"/>
      <c r="Y44" s="30"/>
    </row>
    <row r="45" spans="1:25" s="14" customFormat="1" x14ac:dyDescent="0.35">
      <c r="A45" s="30" t="s">
        <v>119</v>
      </c>
      <c r="B45" s="30" t="s">
        <v>120</v>
      </c>
      <c r="C45" s="138"/>
      <c r="D45" s="30" t="s">
        <v>121</v>
      </c>
      <c r="E45" s="30" t="s">
        <v>122</v>
      </c>
      <c r="F45" s="30" t="s">
        <v>6</v>
      </c>
      <c r="G45" s="38">
        <v>2.57</v>
      </c>
      <c r="H45" s="38">
        <v>1.69</v>
      </c>
      <c r="I45" s="38">
        <v>66</v>
      </c>
      <c r="J45" s="38">
        <v>80</v>
      </c>
      <c r="K45" s="142">
        <v>16</v>
      </c>
      <c r="L45" s="38">
        <v>186.1</v>
      </c>
      <c r="M45" s="38">
        <v>148.80000000000001</v>
      </c>
      <c r="N45" s="38">
        <v>5.5883933369156376E-2</v>
      </c>
      <c r="O45" s="38">
        <v>0.17741935483870966</v>
      </c>
      <c r="P45" s="141" t="s">
        <v>65</v>
      </c>
      <c r="Q45" s="38">
        <v>1.32</v>
      </c>
      <c r="R45" s="38"/>
      <c r="S45" s="38"/>
      <c r="T45" s="38"/>
      <c r="U45" s="38"/>
      <c r="V45" s="38"/>
      <c r="W45" s="38"/>
      <c r="X45" s="38"/>
      <c r="Y45" s="30"/>
    </row>
    <row r="46" spans="1:25" s="14" customFormat="1" x14ac:dyDescent="0.35">
      <c r="A46" s="30" t="s">
        <v>119</v>
      </c>
      <c r="B46" s="30" t="s">
        <v>120</v>
      </c>
      <c r="C46" s="138">
        <v>2332637</v>
      </c>
      <c r="D46" s="30" t="s">
        <v>121</v>
      </c>
      <c r="E46" s="30" t="s">
        <v>122</v>
      </c>
      <c r="F46" s="30" t="s">
        <v>6</v>
      </c>
      <c r="G46" s="38">
        <v>9.9</v>
      </c>
      <c r="H46" s="38">
        <v>1.55</v>
      </c>
      <c r="I46" s="38"/>
      <c r="J46" s="38">
        <v>75</v>
      </c>
      <c r="K46" s="142">
        <v>16</v>
      </c>
      <c r="L46" s="38"/>
      <c r="M46" s="38">
        <v>144</v>
      </c>
      <c r="N46" s="38"/>
      <c r="O46" s="38"/>
      <c r="P46" s="141" t="s">
        <v>65</v>
      </c>
      <c r="R46" s="145"/>
      <c r="S46" s="145"/>
      <c r="T46" s="145"/>
      <c r="U46" s="145"/>
      <c r="V46" s="145"/>
      <c r="W46" s="145"/>
      <c r="X46" s="145"/>
    </row>
    <row r="47" spans="1:25" s="14" customFormat="1" x14ac:dyDescent="0.35">
      <c r="A47" s="30" t="s">
        <v>119</v>
      </c>
      <c r="B47" s="30" t="s">
        <v>120</v>
      </c>
      <c r="D47" s="30" t="s">
        <v>121</v>
      </c>
      <c r="E47" s="30" t="s">
        <v>122</v>
      </c>
      <c r="F47" s="30" t="s">
        <v>6</v>
      </c>
      <c r="G47" s="38">
        <v>5.31</v>
      </c>
      <c r="H47" s="38">
        <v>1.69</v>
      </c>
      <c r="I47" s="38">
        <v>68</v>
      </c>
      <c r="J47" s="38">
        <v>84</v>
      </c>
      <c r="K47" s="142">
        <v>20</v>
      </c>
      <c r="L47" s="38">
        <v>296</v>
      </c>
      <c r="M47" s="38">
        <v>206</v>
      </c>
      <c r="N47" s="38"/>
      <c r="O47" s="38"/>
      <c r="P47" s="141" t="s">
        <v>65</v>
      </c>
      <c r="Q47" s="38">
        <v>1.4</v>
      </c>
      <c r="R47" s="38"/>
      <c r="S47" s="38"/>
      <c r="T47" s="38"/>
      <c r="U47" s="38"/>
      <c r="V47" s="38"/>
      <c r="W47" s="38"/>
      <c r="X47" s="38"/>
      <c r="Y47" s="30"/>
    </row>
    <row r="48" spans="1:25" s="14" customFormat="1" x14ac:dyDescent="0.35">
      <c r="A48" s="30" t="s">
        <v>119</v>
      </c>
      <c r="B48" s="30" t="s">
        <v>120</v>
      </c>
      <c r="C48" s="138"/>
      <c r="D48" s="30" t="s">
        <v>121</v>
      </c>
      <c r="E48" s="30" t="s">
        <v>123</v>
      </c>
      <c r="F48" s="30" t="s">
        <v>6</v>
      </c>
      <c r="G48" s="38">
        <v>1.1299999999999999</v>
      </c>
      <c r="H48" s="38">
        <v>1.28</v>
      </c>
      <c r="I48" s="38">
        <v>66</v>
      </c>
      <c r="J48" s="38">
        <v>76</v>
      </c>
      <c r="K48" s="142">
        <v>12</v>
      </c>
      <c r="L48" s="38">
        <v>126</v>
      </c>
      <c r="M48" s="38">
        <v>99</v>
      </c>
      <c r="N48" s="38"/>
      <c r="O48" s="38"/>
      <c r="P48" s="141" t="s">
        <v>65</v>
      </c>
      <c r="Q48" s="38">
        <v>1.08</v>
      </c>
      <c r="R48" s="38"/>
      <c r="S48" s="38"/>
      <c r="T48" s="38"/>
      <c r="U48" s="38"/>
      <c r="V48" s="38"/>
      <c r="W48" s="38"/>
      <c r="X48" s="38"/>
      <c r="Y48" s="30"/>
    </row>
    <row r="49" spans="1:25" s="14" customFormat="1" x14ac:dyDescent="0.35">
      <c r="A49" s="30" t="s">
        <v>119</v>
      </c>
      <c r="B49" s="30" t="s">
        <v>120</v>
      </c>
      <c r="C49" s="138"/>
      <c r="D49" s="30" t="s">
        <v>121</v>
      </c>
      <c r="E49" s="30" t="s">
        <v>123</v>
      </c>
      <c r="F49" s="30" t="s">
        <v>6</v>
      </c>
      <c r="G49" s="38">
        <v>1.1499999999999999</v>
      </c>
      <c r="H49" s="38">
        <v>1.3</v>
      </c>
      <c r="I49" s="38">
        <v>70</v>
      </c>
      <c r="J49" s="38">
        <v>76</v>
      </c>
      <c r="K49" s="142">
        <v>10</v>
      </c>
      <c r="L49" s="38">
        <v>109</v>
      </c>
      <c r="M49" s="38">
        <v>111</v>
      </c>
      <c r="N49" s="38"/>
      <c r="O49" s="38"/>
      <c r="P49" s="141" t="s">
        <v>65</v>
      </c>
      <c r="Q49" s="38">
        <v>0.98</v>
      </c>
      <c r="R49" s="38"/>
      <c r="S49" s="38"/>
      <c r="T49" s="38"/>
      <c r="U49" s="38"/>
      <c r="V49" s="38"/>
      <c r="W49" s="38"/>
      <c r="X49" s="38"/>
      <c r="Y49" s="30"/>
    </row>
    <row r="50" spans="1:25" s="14" customFormat="1" x14ac:dyDescent="0.35">
      <c r="A50" s="30" t="s">
        <v>119</v>
      </c>
      <c r="B50" s="30" t="s">
        <v>120</v>
      </c>
      <c r="C50" s="138"/>
      <c r="D50" s="30" t="s">
        <v>121</v>
      </c>
      <c r="E50" s="30" t="s">
        <v>123</v>
      </c>
      <c r="F50" s="30" t="s">
        <v>6</v>
      </c>
      <c r="G50" s="38">
        <v>0.98</v>
      </c>
      <c r="H50" s="38">
        <v>1.08</v>
      </c>
      <c r="I50" s="38">
        <v>51</v>
      </c>
      <c r="J50" s="38">
        <v>73</v>
      </c>
      <c r="K50" s="142">
        <v>6</v>
      </c>
      <c r="L50" s="38">
        <v>54</v>
      </c>
      <c r="M50" s="38">
        <v>61</v>
      </c>
      <c r="N50" s="38"/>
      <c r="O50" s="38"/>
      <c r="P50" s="141" t="s">
        <v>65</v>
      </c>
      <c r="Q50" s="38">
        <v>0.93</v>
      </c>
      <c r="R50" s="38"/>
      <c r="S50" s="38"/>
      <c r="T50" s="38"/>
      <c r="U50" s="38"/>
      <c r="V50" s="38"/>
      <c r="W50" s="38"/>
      <c r="X50" s="38"/>
      <c r="Y50" s="30"/>
    </row>
    <row r="51" spans="1:25" s="14" customFormat="1" x14ac:dyDescent="0.35">
      <c r="A51" s="30" t="s">
        <v>119</v>
      </c>
      <c r="B51" s="30" t="s">
        <v>120</v>
      </c>
      <c r="C51" s="138"/>
      <c r="D51" s="30" t="s">
        <v>121</v>
      </c>
      <c r="E51" s="30" t="s">
        <v>123</v>
      </c>
      <c r="F51" s="30" t="s">
        <v>6</v>
      </c>
      <c r="G51" s="38">
        <v>1.59</v>
      </c>
      <c r="H51" s="38">
        <v>0.74</v>
      </c>
      <c r="I51" s="38">
        <v>66</v>
      </c>
      <c r="J51" s="38">
        <v>78</v>
      </c>
      <c r="K51" s="142">
        <v>6</v>
      </c>
      <c r="L51" s="38">
        <v>100</v>
      </c>
      <c r="M51" s="38">
        <v>62</v>
      </c>
      <c r="N51" s="38"/>
      <c r="O51" s="38"/>
      <c r="P51" s="141" t="s">
        <v>65</v>
      </c>
      <c r="Q51" s="30"/>
      <c r="R51" s="38"/>
      <c r="S51" s="38"/>
      <c r="T51" s="38"/>
      <c r="U51" s="38"/>
      <c r="V51" s="38"/>
      <c r="W51" s="38"/>
      <c r="X51" s="38"/>
      <c r="Y51" s="30"/>
    </row>
    <row r="52" spans="1:25" s="14" customFormat="1" x14ac:dyDescent="0.35">
      <c r="A52" s="30" t="s">
        <v>119</v>
      </c>
      <c r="B52" s="30" t="s">
        <v>120</v>
      </c>
      <c r="C52" s="138"/>
      <c r="D52" s="30" t="s">
        <v>121</v>
      </c>
      <c r="E52" s="30" t="s">
        <v>122</v>
      </c>
      <c r="F52" s="30" t="s">
        <v>6</v>
      </c>
      <c r="G52" s="38">
        <v>5.05</v>
      </c>
      <c r="H52" s="38">
        <v>1.08</v>
      </c>
      <c r="I52" s="38">
        <v>31</v>
      </c>
      <c r="J52" s="38">
        <v>71</v>
      </c>
      <c r="K52" s="142">
        <v>5</v>
      </c>
      <c r="L52" s="38">
        <v>90</v>
      </c>
      <c r="M52" s="38">
        <v>52</v>
      </c>
      <c r="N52" s="38"/>
      <c r="O52" s="38"/>
      <c r="P52" s="141" t="s">
        <v>65</v>
      </c>
      <c r="Q52" s="30"/>
      <c r="R52" s="38"/>
      <c r="S52" s="38"/>
      <c r="T52" s="38"/>
      <c r="U52" s="38"/>
      <c r="V52" s="38"/>
      <c r="W52" s="38"/>
      <c r="X52" s="38"/>
      <c r="Y52" s="30"/>
    </row>
    <row r="53" spans="1:25" s="14" customFormat="1" x14ac:dyDescent="0.35">
      <c r="A53" s="30" t="s">
        <v>119</v>
      </c>
      <c r="B53" s="30" t="s">
        <v>120</v>
      </c>
      <c r="C53" s="138"/>
      <c r="D53" s="30" t="s">
        <v>121</v>
      </c>
      <c r="E53" s="30" t="s">
        <v>122</v>
      </c>
      <c r="F53" s="30" t="s">
        <v>6</v>
      </c>
      <c r="G53" s="38">
        <v>26.4</v>
      </c>
      <c r="H53" s="38">
        <v>0.95</v>
      </c>
      <c r="I53" s="38">
        <v>42.7</v>
      </c>
      <c r="J53" s="38">
        <v>72.7</v>
      </c>
      <c r="K53" s="142">
        <v>14</v>
      </c>
      <c r="L53" s="38">
        <v>231.6</v>
      </c>
      <c r="M53" s="38">
        <v>128.6</v>
      </c>
      <c r="N53" s="38"/>
      <c r="O53" s="38"/>
      <c r="P53" s="141" t="s">
        <v>65</v>
      </c>
      <c r="Q53" s="30"/>
      <c r="R53" s="38"/>
      <c r="S53" s="38"/>
      <c r="T53" s="38"/>
      <c r="U53" s="38"/>
      <c r="V53" s="38"/>
      <c r="W53" s="38"/>
      <c r="X53" s="38"/>
      <c r="Y53" s="30"/>
    </row>
    <row r="54" spans="1:25" s="14" customFormat="1" x14ac:dyDescent="0.35">
      <c r="A54" s="30" t="s">
        <v>119</v>
      </c>
      <c r="B54" s="30" t="s">
        <v>120</v>
      </c>
      <c r="C54" s="138"/>
      <c r="D54" s="30" t="s">
        <v>121</v>
      </c>
      <c r="E54" s="30" t="s">
        <v>122</v>
      </c>
      <c r="F54" s="30" t="s">
        <v>6</v>
      </c>
      <c r="G54" s="38">
        <v>3.14</v>
      </c>
      <c r="H54" s="38">
        <v>2.2999999999999998</v>
      </c>
      <c r="I54" s="38">
        <v>60.1</v>
      </c>
      <c r="J54" s="38">
        <v>74.8</v>
      </c>
      <c r="K54" s="142">
        <v>14</v>
      </c>
      <c r="L54" s="38">
        <v>187.8</v>
      </c>
      <c r="M54" s="38">
        <v>132.9</v>
      </c>
      <c r="N54" s="38"/>
      <c r="O54" s="38"/>
      <c r="P54" s="141" t="s">
        <v>65</v>
      </c>
      <c r="Q54" s="30"/>
      <c r="R54" s="38"/>
      <c r="S54" s="38"/>
      <c r="T54" s="38"/>
      <c r="U54" s="38"/>
      <c r="V54" s="38"/>
      <c r="W54" s="38"/>
      <c r="X54" s="38"/>
      <c r="Y54" s="30"/>
    </row>
    <row r="55" spans="1:25" s="14" customFormat="1" x14ac:dyDescent="0.35">
      <c r="A55" s="30" t="s">
        <v>119</v>
      </c>
      <c r="B55" s="30" t="s">
        <v>120</v>
      </c>
      <c r="C55" s="138"/>
      <c r="D55" s="30" t="s">
        <v>121</v>
      </c>
      <c r="E55" s="30" t="s">
        <v>123</v>
      </c>
      <c r="F55" s="30" t="s">
        <v>6</v>
      </c>
      <c r="G55" s="38">
        <v>6.3</v>
      </c>
      <c r="H55" s="38">
        <v>1.3</v>
      </c>
      <c r="I55" s="38">
        <v>43</v>
      </c>
      <c r="J55" s="38">
        <v>72</v>
      </c>
      <c r="K55" s="142">
        <v>8</v>
      </c>
      <c r="L55" s="38">
        <v>149</v>
      </c>
      <c r="M55" s="38">
        <v>75</v>
      </c>
      <c r="N55" s="38"/>
      <c r="O55" s="38"/>
      <c r="P55" s="141" t="s">
        <v>65</v>
      </c>
      <c r="Q55" s="30"/>
      <c r="R55" s="38"/>
      <c r="S55" s="38"/>
      <c r="T55" s="38"/>
      <c r="U55" s="38"/>
      <c r="V55" s="38"/>
      <c r="W55" s="38"/>
      <c r="X55" s="38"/>
      <c r="Y55" s="30"/>
    </row>
    <row r="56" spans="1:25" s="14" customFormat="1" x14ac:dyDescent="0.35">
      <c r="A56" s="30" t="s">
        <v>119</v>
      </c>
      <c r="B56" s="30" t="s">
        <v>120</v>
      </c>
      <c r="C56" s="138"/>
      <c r="D56" s="30" t="s">
        <v>121</v>
      </c>
      <c r="E56" s="30" t="s">
        <v>123</v>
      </c>
      <c r="F56" s="30" t="s">
        <v>6</v>
      </c>
      <c r="G56" s="38">
        <v>0.71</v>
      </c>
      <c r="H56" s="38">
        <v>1.19</v>
      </c>
      <c r="I56" s="38">
        <v>72</v>
      </c>
      <c r="J56" s="38">
        <v>78</v>
      </c>
      <c r="K56" s="142">
        <v>10</v>
      </c>
      <c r="L56" s="38">
        <v>101.2</v>
      </c>
      <c r="M56" s="38">
        <v>104.4</v>
      </c>
      <c r="N56" s="38">
        <v>0.16600790513833993</v>
      </c>
      <c r="O56" s="38">
        <v>0.67432950191570884</v>
      </c>
      <c r="P56" s="141" t="s">
        <v>65</v>
      </c>
      <c r="Q56" s="38">
        <v>0.97</v>
      </c>
      <c r="R56" s="38"/>
      <c r="S56" s="38"/>
      <c r="T56" s="38"/>
      <c r="U56" s="38"/>
      <c r="V56" s="38"/>
      <c r="W56" s="38"/>
      <c r="X56" s="38"/>
      <c r="Y56" s="30"/>
    </row>
    <row r="57" spans="1:25" s="14" customFormat="1" x14ac:dyDescent="0.35">
      <c r="A57" s="30" t="s">
        <v>119</v>
      </c>
      <c r="B57" s="30" t="s">
        <v>120</v>
      </c>
      <c r="C57" s="138">
        <v>2226578</v>
      </c>
      <c r="D57" s="30" t="s">
        <v>121</v>
      </c>
      <c r="E57" s="30" t="s">
        <v>123</v>
      </c>
      <c r="F57" s="30" t="s">
        <v>6</v>
      </c>
      <c r="G57" s="38">
        <v>1.19</v>
      </c>
      <c r="H57" s="38">
        <v>0.73</v>
      </c>
      <c r="I57" s="38">
        <v>65</v>
      </c>
      <c r="J57" s="38">
        <v>75</v>
      </c>
      <c r="K57" s="142">
        <v>5</v>
      </c>
      <c r="L57" s="38">
        <v>80</v>
      </c>
      <c r="M57" s="38">
        <v>50</v>
      </c>
      <c r="N57" s="38"/>
      <c r="O57" s="38"/>
      <c r="P57" s="141" t="s">
        <v>65</v>
      </c>
      <c r="Q57" s="38">
        <v>0.54</v>
      </c>
      <c r="R57" s="38"/>
      <c r="S57" s="38"/>
      <c r="T57" s="38"/>
      <c r="U57" s="38"/>
      <c r="V57" s="38"/>
      <c r="W57" s="38"/>
      <c r="X57" s="38"/>
      <c r="Y57" s="30"/>
    </row>
    <row r="58" spans="1:25" s="14" customFormat="1" x14ac:dyDescent="0.35">
      <c r="A58" s="30" t="s">
        <v>119</v>
      </c>
      <c r="B58" s="30" t="s">
        <v>120</v>
      </c>
      <c r="C58" s="138"/>
      <c r="D58" s="30" t="s">
        <v>121</v>
      </c>
      <c r="E58" s="30" t="s">
        <v>123</v>
      </c>
      <c r="F58" s="30" t="s">
        <v>6</v>
      </c>
      <c r="G58" s="38">
        <v>2.0299999999999998</v>
      </c>
      <c r="H58" s="38">
        <v>1.59</v>
      </c>
      <c r="I58" s="38">
        <v>59</v>
      </c>
      <c r="J58" s="38">
        <v>83</v>
      </c>
      <c r="K58" s="142">
        <v>14</v>
      </c>
      <c r="L58" s="38">
        <v>226</v>
      </c>
      <c r="M58" s="38">
        <v>151</v>
      </c>
      <c r="N58" s="38"/>
      <c r="O58" s="38"/>
      <c r="P58" s="141" t="s">
        <v>65</v>
      </c>
      <c r="Q58" s="38">
        <v>0.89</v>
      </c>
      <c r="R58" s="38"/>
      <c r="S58" s="38"/>
      <c r="T58" s="38"/>
      <c r="U58" s="38"/>
      <c r="V58" s="38"/>
      <c r="W58" s="38"/>
      <c r="X58" s="38"/>
      <c r="Y58" s="30"/>
    </row>
    <row r="59" spans="1:25" s="14" customFormat="1" x14ac:dyDescent="0.35">
      <c r="A59" s="30" t="s">
        <v>119</v>
      </c>
      <c r="B59" s="30" t="s">
        <v>120</v>
      </c>
      <c r="C59" s="138"/>
      <c r="D59" s="30" t="s">
        <v>121</v>
      </c>
      <c r="E59" s="30" t="s">
        <v>122</v>
      </c>
      <c r="F59" s="30" t="s">
        <v>6</v>
      </c>
      <c r="G59" s="38">
        <v>1.94</v>
      </c>
      <c r="H59" s="38">
        <v>1.32</v>
      </c>
      <c r="I59" s="38">
        <v>63</v>
      </c>
      <c r="J59" s="38">
        <v>85</v>
      </c>
      <c r="K59" s="142">
        <v>10</v>
      </c>
      <c r="L59" s="38">
        <v>400.7</v>
      </c>
      <c r="M59" s="38">
        <v>188.26</v>
      </c>
      <c r="N59" s="38">
        <v>6.7681557274769169E-2</v>
      </c>
      <c r="O59" s="38">
        <v>0</v>
      </c>
      <c r="P59" s="141" t="s">
        <v>65</v>
      </c>
      <c r="Q59" s="30"/>
      <c r="R59" s="38"/>
      <c r="S59" s="38"/>
      <c r="T59" s="38"/>
      <c r="U59" s="38"/>
      <c r="V59" s="38"/>
      <c r="W59" s="38"/>
      <c r="X59" s="38"/>
      <c r="Y59" s="30"/>
    </row>
    <row r="60" spans="1:25" s="14" customFormat="1" x14ac:dyDescent="0.35">
      <c r="A60" s="30" t="s">
        <v>119</v>
      </c>
      <c r="B60" s="30" t="s">
        <v>120</v>
      </c>
      <c r="C60" s="138">
        <v>2349743</v>
      </c>
      <c r="D60" s="30" t="s">
        <v>121</v>
      </c>
      <c r="E60" s="30" t="s">
        <v>123</v>
      </c>
      <c r="F60" s="30" t="s">
        <v>6</v>
      </c>
      <c r="G60" s="38">
        <v>0.9</v>
      </c>
      <c r="H60" s="38">
        <v>0.74</v>
      </c>
      <c r="I60" s="38">
        <v>56</v>
      </c>
      <c r="J60" s="38">
        <v>77</v>
      </c>
      <c r="K60" s="142">
        <v>6</v>
      </c>
      <c r="L60" s="38">
        <v>97.26</v>
      </c>
      <c r="M60" s="38">
        <v>65.930000000000007</v>
      </c>
      <c r="N60" s="38">
        <v>2.8788813489615459E-2</v>
      </c>
      <c r="O60" s="38">
        <v>0</v>
      </c>
      <c r="P60" s="141" t="s">
        <v>65</v>
      </c>
      <c r="Q60" s="30"/>
      <c r="R60" s="38"/>
      <c r="S60" s="38"/>
      <c r="T60" s="38"/>
      <c r="U60" s="38"/>
      <c r="V60" s="38"/>
      <c r="W60" s="38"/>
      <c r="X60" s="38"/>
      <c r="Y60" s="30"/>
    </row>
    <row r="61" spans="1:25" s="14" customFormat="1" x14ac:dyDescent="0.35">
      <c r="A61" s="30" t="s">
        <v>119</v>
      </c>
      <c r="B61" s="30" t="s">
        <v>120</v>
      </c>
      <c r="C61" s="138">
        <v>2341560</v>
      </c>
      <c r="D61" s="30" t="s">
        <v>121</v>
      </c>
      <c r="E61" s="30" t="s">
        <v>122</v>
      </c>
      <c r="F61" s="30" t="s">
        <v>6</v>
      </c>
      <c r="G61" s="38">
        <v>1.42</v>
      </c>
      <c r="H61" s="38">
        <v>1.1200000000000001</v>
      </c>
      <c r="I61" s="38">
        <v>61</v>
      </c>
      <c r="J61" s="38">
        <v>86</v>
      </c>
      <c r="K61" s="142">
        <v>6</v>
      </c>
      <c r="L61" s="38">
        <v>239.17</v>
      </c>
      <c r="M61" s="38">
        <v>118.04</v>
      </c>
      <c r="N61" s="38">
        <v>1.2376134130534766E-2</v>
      </c>
      <c r="O61" s="38">
        <v>0</v>
      </c>
      <c r="P61" s="141" t="s">
        <v>65</v>
      </c>
      <c r="Q61" s="30"/>
      <c r="R61" s="38"/>
      <c r="S61" s="38"/>
      <c r="T61" s="38"/>
      <c r="U61" s="38"/>
      <c r="V61" s="38"/>
      <c r="W61" s="38"/>
      <c r="X61" s="38"/>
      <c r="Y61" s="30"/>
    </row>
    <row r="62" spans="1:25" s="14" customFormat="1" x14ac:dyDescent="0.35">
      <c r="A62" s="30" t="s">
        <v>119</v>
      </c>
      <c r="B62" s="30" t="s">
        <v>120</v>
      </c>
      <c r="C62" s="138">
        <v>2349744</v>
      </c>
      <c r="D62" s="30" t="s">
        <v>121</v>
      </c>
      <c r="E62" s="30" t="s">
        <v>123</v>
      </c>
      <c r="F62" s="30" t="s">
        <v>6</v>
      </c>
      <c r="G62" s="38">
        <v>2.4900000000000002</v>
      </c>
      <c r="H62" s="38">
        <v>1.65</v>
      </c>
      <c r="I62" s="38">
        <v>50.62</v>
      </c>
      <c r="J62" s="38">
        <v>63.67</v>
      </c>
      <c r="K62" s="142">
        <v>5</v>
      </c>
      <c r="L62" s="38">
        <v>98</v>
      </c>
      <c r="M62" s="38">
        <v>53.5</v>
      </c>
      <c r="N62" s="38"/>
      <c r="O62" s="38"/>
      <c r="P62" s="141" t="s">
        <v>65</v>
      </c>
      <c r="Q62" s="30"/>
      <c r="R62" s="38"/>
      <c r="S62" s="38"/>
      <c r="T62" s="38"/>
      <c r="U62" s="38"/>
      <c r="V62" s="38"/>
      <c r="W62" s="38"/>
      <c r="X62" s="38"/>
      <c r="Y62" s="30"/>
    </row>
    <row r="63" spans="1:25" s="14" customFormat="1" x14ac:dyDescent="0.35">
      <c r="A63" s="30" t="s">
        <v>119</v>
      </c>
      <c r="B63" s="30" t="s">
        <v>120</v>
      </c>
      <c r="C63" s="138"/>
      <c r="D63" s="30" t="s">
        <v>121</v>
      </c>
      <c r="E63" s="30" t="s">
        <v>122</v>
      </c>
      <c r="F63" s="30" t="s">
        <v>6</v>
      </c>
      <c r="G63" s="38">
        <v>8.8000000000000007</v>
      </c>
      <c r="H63" s="38">
        <v>3.73</v>
      </c>
      <c r="I63" s="38">
        <v>61</v>
      </c>
      <c r="J63" s="38">
        <v>76</v>
      </c>
      <c r="K63" s="142">
        <v>40</v>
      </c>
      <c r="L63" s="38">
        <v>478</v>
      </c>
      <c r="M63" s="38">
        <v>314</v>
      </c>
      <c r="N63" s="38"/>
      <c r="O63" s="38"/>
      <c r="P63" s="141" t="s">
        <v>65</v>
      </c>
      <c r="Q63" s="38">
        <v>3.2650000000000001</v>
      </c>
      <c r="R63" s="38">
        <v>2.6</v>
      </c>
      <c r="S63" s="38">
        <v>3.93</v>
      </c>
      <c r="T63" s="38"/>
      <c r="U63" s="38"/>
      <c r="V63" s="38"/>
      <c r="W63" s="38"/>
      <c r="X63" s="38"/>
      <c r="Y63" s="30"/>
    </row>
    <row r="64" spans="1:25" s="14" customFormat="1" x14ac:dyDescent="0.35">
      <c r="A64" s="30" t="s">
        <v>119</v>
      </c>
      <c r="B64" s="30" t="s">
        <v>120</v>
      </c>
      <c r="C64" s="138"/>
      <c r="D64" s="30" t="s">
        <v>121</v>
      </c>
      <c r="E64" s="30" t="s">
        <v>123</v>
      </c>
      <c r="F64" s="30" t="s">
        <v>6</v>
      </c>
      <c r="G64" s="38">
        <v>0.98</v>
      </c>
      <c r="H64" s="38">
        <v>1.08</v>
      </c>
      <c r="I64" s="38">
        <v>51</v>
      </c>
      <c r="J64" s="38">
        <v>73</v>
      </c>
      <c r="K64" s="142">
        <v>6</v>
      </c>
      <c r="L64" s="38">
        <v>54</v>
      </c>
      <c r="M64" s="38">
        <v>61</v>
      </c>
      <c r="N64" s="38"/>
      <c r="O64" s="38"/>
      <c r="P64" s="141" t="s">
        <v>65</v>
      </c>
      <c r="Q64" s="38">
        <v>0.93</v>
      </c>
      <c r="R64" s="38"/>
      <c r="S64" s="38"/>
      <c r="T64" s="38"/>
      <c r="U64" s="38"/>
      <c r="V64" s="38"/>
      <c r="W64" s="38"/>
      <c r="X64" s="38"/>
      <c r="Y64" s="30"/>
    </row>
    <row r="65" spans="1:25" s="14" customFormat="1" x14ac:dyDescent="0.35">
      <c r="A65" s="30" t="s">
        <v>119</v>
      </c>
      <c r="B65" s="30" t="s">
        <v>120</v>
      </c>
      <c r="C65" s="138"/>
      <c r="D65" s="30" t="s">
        <v>121</v>
      </c>
      <c r="E65" s="30" t="s">
        <v>122</v>
      </c>
      <c r="F65" s="30" t="s">
        <v>6</v>
      </c>
      <c r="G65" s="38">
        <v>1.1299999999999999</v>
      </c>
      <c r="H65" s="38">
        <v>1.28</v>
      </c>
      <c r="I65" s="38">
        <v>66</v>
      </c>
      <c r="J65" s="38">
        <v>76</v>
      </c>
      <c r="K65" s="142">
        <v>12</v>
      </c>
      <c r="L65" s="38">
        <v>126</v>
      </c>
      <c r="M65" s="38">
        <v>99</v>
      </c>
      <c r="N65" s="38"/>
      <c r="O65" s="38"/>
      <c r="P65" s="141" t="s">
        <v>65</v>
      </c>
      <c r="Q65" s="38">
        <v>1.08</v>
      </c>
      <c r="R65" s="38"/>
      <c r="S65" s="38"/>
      <c r="T65" s="38"/>
      <c r="U65" s="38"/>
      <c r="V65" s="38"/>
      <c r="W65" s="38"/>
      <c r="X65" s="38"/>
      <c r="Y65" s="30"/>
    </row>
    <row r="66" spans="1:25" s="14" customFormat="1" x14ac:dyDescent="0.35">
      <c r="A66" s="30" t="s">
        <v>119</v>
      </c>
      <c r="B66" s="30" t="s">
        <v>120</v>
      </c>
      <c r="C66" s="138"/>
      <c r="D66" s="30" t="s">
        <v>121</v>
      </c>
      <c r="E66" s="30" t="s">
        <v>122</v>
      </c>
      <c r="F66" s="30" t="s">
        <v>6</v>
      </c>
      <c r="G66" s="38">
        <v>1.1499999999999999</v>
      </c>
      <c r="H66" s="38">
        <v>1.3</v>
      </c>
      <c r="I66" s="38">
        <v>70</v>
      </c>
      <c r="J66" s="38">
        <v>76</v>
      </c>
      <c r="K66" s="142">
        <v>10</v>
      </c>
      <c r="L66" s="38">
        <v>109</v>
      </c>
      <c r="M66" s="38">
        <v>111</v>
      </c>
      <c r="N66" s="38"/>
      <c r="O66" s="38"/>
      <c r="P66" s="141" t="s">
        <v>65</v>
      </c>
      <c r="Q66" s="38">
        <v>0.98</v>
      </c>
      <c r="R66" s="38"/>
      <c r="S66" s="38"/>
      <c r="T66" s="38"/>
      <c r="U66" s="38"/>
      <c r="V66" s="38"/>
      <c r="W66" s="38"/>
      <c r="X66" s="38"/>
      <c r="Y66" s="30"/>
    </row>
    <row r="67" spans="1:25" s="14" customFormat="1" x14ac:dyDescent="0.35">
      <c r="A67" s="30" t="s">
        <v>119</v>
      </c>
      <c r="B67" s="30" t="s">
        <v>120</v>
      </c>
      <c r="C67" s="138"/>
      <c r="D67" s="30" t="s">
        <v>121</v>
      </c>
      <c r="E67" s="30" t="s">
        <v>122</v>
      </c>
      <c r="F67" s="30" t="s">
        <v>6</v>
      </c>
      <c r="G67" s="38">
        <v>5.31</v>
      </c>
      <c r="H67" s="38">
        <v>1.69</v>
      </c>
      <c r="I67" s="38">
        <v>68</v>
      </c>
      <c r="J67" s="38">
        <v>84</v>
      </c>
      <c r="K67" s="142">
        <v>20</v>
      </c>
      <c r="L67" s="38">
        <v>296</v>
      </c>
      <c r="M67" s="38">
        <v>206</v>
      </c>
      <c r="N67" s="38"/>
      <c r="O67" s="38"/>
      <c r="P67" s="141" t="s">
        <v>65</v>
      </c>
      <c r="Q67" s="38">
        <v>1.4</v>
      </c>
      <c r="R67" s="38"/>
      <c r="S67" s="38"/>
      <c r="T67" s="38"/>
      <c r="U67" s="38"/>
      <c r="V67" s="38"/>
      <c r="W67" s="38"/>
      <c r="X67" s="38"/>
      <c r="Y67" s="30"/>
    </row>
    <row r="68" spans="1:25" s="14" customFormat="1" x14ac:dyDescent="0.35">
      <c r="A68" s="30" t="s">
        <v>119</v>
      </c>
      <c r="B68" s="30" t="s">
        <v>120</v>
      </c>
      <c r="C68" s="138"/>
      <c r="D68" s="30" t="s">
        <v>121</v>
      </c>
      <c r="E68" s="30" t="s">
        <v>123</v>
      </c>
      <c r="F68" s="30" t="s">
        <v>6</v>
      </c>
      <c r="G68" s="38">
        <v>3.56</v>
      </c>
      <c r="H68" s="38">
        <v>0.9</v>
      </c>
      <c r="I68" s="38">
        <v>58</v>
      </c>
      <c r="J68" s="38">
        <v>79</v>
      </c>
      <c r="K68" s="142">
        <v>10</v>
      </c>
      <c r="L68" s="38">
        <v>174</v>
      </c>
      <c r="M68" s="38">
        <v>102</v>
      </c>
      <c r="N68" s="38"/>
      <c r="O68" s="38"/>
      <c r="P68" s="141" t="s">
        <v>65</v>
      </c>
      <c r="Q68" s="38">
        <v>1.1000000000000001</v>
      </c>
      <c r="R68" s="38"/>
      <c r="S68" s="38"/>
      <c r="T68" s="38"/>
      <c r="U68" s="38"/>
      <c r="V68" s="38"/>
      <c r="W68" s="38"/>
      <c r="X68" s="38"/>
      <c r="Y68" s="30"/>
    </row>
    <row r="69" spans="1:25" s="14" customFormat="1" x14ac:dyDescent="0.35">
      <c r="A69" s="30" t="s">
        <v>119</v>
      </c>
      <c r="B69" s="30" t="s">
        <v>120</v>
      </c>
      <c r="C69" s="138"/>
      <c r="D69" s="30" t="s">
        <v>121</v>
      </c>
      <c r="E69" s="30" t="s">
        <v>123</v>
      </c>
      <c r="F69" s="30" t="s">
        <v>6</v>
      </c>
      <c r="G69" s="38">
        <v>1.3</v>
      </c>
      <c r="H69" s="38">
        <v>0.87</v>
      </c>
      <c r="I69" s="38">
        <v>58</v>
      </c>
      <c r="J69" s="38">
        <v>77</v>
      </c>
      <c r="K69" s="142">
        <v>6</v>
      </c>
      <c r="L69" s="38">
        <v>93.4</v>
      </c>
      <c r="M69" s="38">
        <v>63.7</v>
      </c>
      <c r="N69" s="38">
        <v>0.32548179871520339</v>
      </c>
      <c r="O69" s="38">
        <v>0</v>
      </c>
      <c r="P69" s="141" t="s">
        <v>65</v>
      </c>
      <c r="Q69" s="30"/>
      <c r="R69" s="38"/>
      <c r="S69" s="38"/>
      <c r="T69" s="38"/>
      <c r="U69" s="38"/>
      <c r="V69" s="38"/>
      <c r="W69" s="38"/>
      <c r="X69" s="38"/>
      <c r="Y69" s="30"/>
    </row>
    <row r="70" spans="1:25" s="14" customFormat="1" x14ac:dyDescent="0.35">
      <c r="A70" s="30" t="s">
        <v>119</v>
      </c>
      <c r="B70" s="30" t="s">
        <v>120</v>
      </c>
      <c r="C70" s="138">
        <v>2289621</v>
      </c>
      <c r="D70" s="30" t="s">
        <v>121</v>
      </c>
      <c r="E70" s="30" t="s">
        <v>123</v>
      </c>
      <c r="F70" s="30" t="s">
        <v>6</v>
      </c>
      <c r="G70" s="38">
        <v>1.5</v>
      </c>
      <c r="H70" s="38">
        <v>0.75</v>
      </c>
      <c r="I70" s="38">
        <v>53</v>
      </c>
      <c r="J70" s="38">
        <v>75</v>
      </c>
      <c r="K70" s="142">
        <v>6</v>
      </c>
      <c r="L70" s="38">
        <v>103</v>
      </c>
      <c r="M70" s="38">
        <v>64</v>
      </c>
      <c r="N70" s="38"/>
      <c r="O70" s="38"/>
      <c r="P70" s="141" t="s">
        <v>65</v>
      </c>
      <c r="Q70" s="38">
        <v>0.83</v>
      </c>
      <c r="R70" s="38"/>
      <c r="S70" s="38"/>
      <c r="T70" s="38"/>
      <c r="U70" s="38"/>
      <c r="V70" s="38"/>
      <c r="W70" s="38"/>
      <c r="X70" s="38"/>
      <c r="Y70" s="30"/>
    </row>
    <row r="71" spans="1:25" s="14" customFormat="1" x14ac:dyDescent="0.35">
      <c r="A71" s="30" t="s">
        <v>119</v>
      </c>
      <c r="B71" s="30" t="s">
        <v>120</v>
      </c>
      <c r="C71" s="138"/>
      <c r="D71" s="30" t="s">
        <v>121</v>
      </c>
      <c r="E71" s="30" t="s">
        <v>122</v>
      </c>
      <c r="F71" s="30" t="s">
        <v>6</v>
      </c>
      <c r="G71" s="38">
        <v>5.6</v>
      </c>
      <c r="H71" s="38">
        <v>4</v>
      </c>
      <c r="I71" s="38">
        <v>57</v>
      </c>
      <c r="J71" s="38">
        <v>75</v>
      </c>
      <c r="K71" s="142">
        <v>38</v>
      </c>
      <c r="L71" s="38">
        <v>244</v>
      </c>
      <c r="M71" s="38">
        <v>273</v>
      </c>
      <c r="N71" s="38"/>
      <c r="O71" s="38"/>
      <c r="P71" s="141" t="s">
        <v>65</v>
      </c>
      <c r="Q71" s="38">
        <v>1.6</v>
      </c>
      <c r="R71" s="38">
        <v>1.1000000000000001</v>
      </c>
      <c r="S71" s="38">
        <v>2.1</v>
      </c>
      <c r="T71" s="38"/>
      <c r="U71" s="38"/>
      <c r="V71" s="38"/>
      <c r="W71" s="38"/>
      <c r="X71" s="38"/>
      <c r="Y71" s="30"/>
    </row>
    <row r="72" spans="1:25" s="14" customFormat="1" x14ac:dyDescent="0.35">
      <c r="A72" s="30" t="s">
        <v>119</v>
      </c>
      <c r="B72" s="30" t="s">
        <v>120</v>
      </c>
      <c r="C72" s="138"/>
      <c r="D72" s="30" t="s">
        <v>121</v>
      </c>
      <c r="E72" s="30" t="s">
        <v>122</v>
      </c>
      <c r="F72" s="30" t="s">
        <v>6</v>
      </c>
      <c r="G72" s="38">
        <v>3.12</v>
      </c>
      <c r="H72" s="38">
        <v>2.4300000000000002</v>
      </c>
      <c r="I72" s="38">
        <v>66</v>
      </c>
      <c r="J72" s="38">
        <v>71</v>
      </c>
      <c r="K72" s="142">
        <v>20</v>
      </c>
      <c r="L72" s="38">
        <v>182</v>
      </c>
      <c r="M72" s="38">
        <v>166</v>
      </c>
      <c r="N72" s="38"/>
      <c r="O72" s="38"/>
      <c r="P72" s="141" t="s">
        <v>65</v>
      </c>
      <c r="Q72" s="38">
        <v>1.56</v>
      </c>
      <c r="R72" s="38"/>
      <c r="S72" s="38"/>
      <c r="T72" s="38"/>
      <c r="U72" s="38"/>
      <c r="V72" s="38"/>
      <c r="W72" s="38"/>
      <c r="X72" s="38"/>
      <c r="Y72" s="30"/>
    </row>
    <row r="73" spans="1:25" s="14" customFormat="1" x14ac:dyDescent="0.35">
      <c r="A73" s="30" t="s">
        <v>119</v>
      </c>
      <c r="B73" s="30" t="s">
        <v>120</v>
      </c>
      <c r="C73" s="138"/>
      <c r="D73" s="30" t="s">
        <v>121</v>
      </c>
      <c r="E73" s="30" t="s">
        <v>122</v>
      </c>
      <c r="F73" s="30" t="s">
        <v>6</v>
      </c>
      <c r="G73" s="38">
        <v>1.46</v>
      </c>
      <c r="H73" s="38">
        <v>1.03</v>
      </c>
      <c r="I73" s="38">
        <v>63</v>
      </c>
      <c r="J73" s="38">
        <v>78</v>
      </c>
      <c r="K73" s="142">
        <v>7</v>
      </c>
      <c r="L73" s="38">
        <v>106.7</v>
      </c>
      <c r="M73" s="38">
        <v>83.5</v>
      </c>
      <c r="N73" s="38">
        <v>0.8</v>
      </c>
      <c r="O73" s="38">
        <v>0</v>
      </c>
      <c r="P73" s="141" t="s">
        <v>65</v>
      </c>
      <c r="Q73" s="38">
        <v>0.79</v>
      </c>
      <c r="R73" s="38"/>
      <c r="S73" s="38"/>
      <c r="T73" s="38"/>
      <c r="U73" s="38"/>
      <c r="V73" s="38"/>
      <c r="W73" s="38"/>
      <c r="X73" s="38"/>
      <c r="Y73" s="30"/>
    </row>
    <row r="74" spans="1:25" s="14" customFormat="1" x14ac:dyDescent="0.35">
      <c r="A74" s="30" t="s">
        <v>119</v>
      </c>
      <c r="B74" s="30" t="s">
        <v>120</v>
      </c>
      <c r="C74" s="138">
        <v>2327320</v>
      </c>
      <c r="D74" s="30" t="s">
        <v>121</v>
      </c>
      <c r="E74" s="30" t="s">
        <v>122</v>
      </c>
      <c r="F74" s="30" t="s">
        <v>6</v>
      </c>
      <c r="G74" s="38">
        <v>1.96</v>
      </c>
      <c r="H74" s="38">
        <v>1.6</v>
      </c>
      <c r="I74" s="38">
        <v>67</v>
      </c>
      <c r="J74" s="38">
        <v>81</v>
      </c>
      <c r="K74" s="142">
        <v>14</v>
      </c>
      <c r="L74" s="38">
        <v>196.2</v>
      </c>
      <c r="M74" s="38">
        <v>139.4</v>
      </c>
      <c r="N74" s="38">
        <v>0.22303771661569824</v>
      </c>
      <c r="O74" s="38">
        <v>1.7216642754662843E-3</v>
      </c>
      <c r="P74" s="141" t="s">
        <v>65</v>
      </c>
      <c r="Q74" s="38">
        <v>1.25</v>
      </c>
      <c r="R74" s="38"/>
      <c r="S74" s="38"/>
      <c r="T74" s="38"/>
      <c r="U74" s="38"/>
      <c r="V74" s="38"/>
      <c r="W74" s="38"/>
      <c r="X74" s="38"/>
      <c r="Y74" s="30"/>
    </row>
    <row r="75" spans="1:25" s="14" customFormat="1" x14ac:dyDescent="0.35">
      <c r="A75" s="30" t="s">
        <v>119</v>
      </c>
      <c r="B75" s="30" t="s">
        <v>120</v>
      </c>
      <c r="C75" s="138">
        <v>2294237</v>
      </c>
      <c r="D75" s="30" t="s">
        <v>121</v>
      </c>
      <c r="E75" s="30" t="s">
        <v>122</v>
      </c>
      <c r="F75" s="30" t="s">
        <v>6</v>
      </c>
      <c r="G75" s="38">
        <v>1.63</v>
      </c>
      <c r="H75" s="38">
        <v>1.21</v>
      </c>
      <c r="I75" s="38">
        <v>63</v>
      </c>
      <c r="J75" s="38">
        <v>82</v>
      </c>
      <c r="K75" s="142">
        <v>10</v>
      </c>
      <c r="L75" s="38">
        <v>174.8</v>
      </c>
      <c r="M75" s="38">
        <v>110.2</v>
      </c>
      <c r="N75" s="38">
        <v>0.52494279176201375</v>
      </c>
      <c r="O75" s="38">
        <v>0</v>
      </c>
      <c r="P75" s="141" t="s">
        <v>65</v>
      </c>
      <c r="Q75" s="38">
        <v>1.1299999999999999</v>
      </c>
      <c r="R75" s="38"/>
      <c r="S75" s="38"/>
      <c r="T75" s="38"/>
      <c r="U75" s="38"/>
      <c r="V75" s="38"/>
      <c r="W75" s="38"/>
      <c r="X75" s="38"/>
      <c r="Y75" s="30"/>
    </row>
    <row r="76" spans="1:25" s="14" customFormat="1" x14ac:dyDescent="0.35">
      <c r="A76" s="30" t="s">
        <v>119</v>
      </c>
      <c r="B76" s="30" t="s">
        <v>120</v>
      </c>
      <c r="C76" s="138">
        <v>2327392</v>
      </c>
      <c r="D76" s="30" t="s">
        <v>121</v>
      </c>
      <c r="E76" s="30" t="s">
        <v>122</v>
      </c>
      <c r="F76" s="30" t="s">
        <v>6</v>
      </c>
      <c r="G76" s="38">
        <v>1.42</v>
      </c>
      <c r="H76" s="38">
        <v>1.03</v>
      </c>
      <c r="I76" s="38">
        <v>66</v>
      </c>
      <c r="J76" s="38">
        <v>78</v>
      </c>
      <c r="K76" s="142">
        <v>7</v>
      </c>
      <c r="L76" s="38">
        <v>92.1</v>
      </c>
      <c r="M76" s="38">
        <v>83.5</v>
      </c>
      <c r="N76" s="38">
        <v>0.67752442996742679</v>
      </c>
      <c r="O76" s="38">
        <v>9.5808383233532933E-3</v>
      </c>
      <c r="P76" s="141" t="s">
        <v>65</v>
      </c>
      <c r="Q76" s="38">
        <v>0.79</v>
      </c>
      <c r="R76" s="38"/>
      <c r="S76" s="38"/>
      <c r="T76" s="38"/>
      <c r="U76" s="38"/>
      <c r="V76" s="38"/>
      <c r="W76" s="38"/>
      <c r="X76" s="38"/>
      <c r="Y76" s="30"/>
    </row>
    <row r="77" spans="1:25" s="14" customFormat="1" x14ac:dyDescent="0.35">
      <c r="A77" s="30" t="s">
        <v>119</v>
      </c>
      <c r="B77" s="30" t="s">
        <v>120</v>
      </c>
      <c r="C77" s="138">
        <v>2327462</v>
      </c>
      <c r="D77" s="30" t="s">
        <v>121</v>
      </c>
      <c r="E77" s="30" t="s">
        <v>122</v>
      </c>
      <c r="F77" s="30" t="s">
        <v>6</v>
      </c>
      <c r="G77" s="38">
        <v>1.1299999999999999</v>
      </c>
      <c r="H77" s="38">
        <v>1.27</v>
      </c>
      <c r="I77" s="38">
        <v>70</v>
      </c>
      <c r="J77" s="38">
        <v>81</v>
      </c>
      <c r="K77" s="142">
        <v>14</v>
      </c>
      <c r="L77" s="38">
        <v>128.19999999999999</v>
      </c>
      <c r="M77" s="38">
        <v>138.30000000000001</v>
      </c>
      <c r="N77" s="38">
        <v>1.2480499219968801E-2</v>
      </c>
      <c r="O77" s="38">
        <v>0</v>
      </c>
      <c r="P77" s="141" t="s">
        <v>65</v>
      </c>
      <c r="Q77" s="38">
        <v>1.56</v>
      </c>
      <c r="R77" s="38"/>
      <c r="S77" s="38"/>
      <c r="T77" s="38"/>
      <c r="U77" s="38"/>
      <c r="V77" s="38"/>
      <c r="W77" s="38"/>
      <c r="X77" s="38"/>
      <c r="Y77" s="30"/>
    </row>
    <row r="78" spans="1:25" s="14" customFormat="1" x14ac:dyDescent="0.35">
      <c r="A78" s="30" t="s">
        <v>119</v>
      </c>
      <c r="B78" s="30" t="s">
        <v>120</v>
      </c>
      <c r="C78" s="138">
        <v>2327407</v>
      </c>
      <c r="D78" s="30" t="s">
        <v>121</v>
      </c>
      <c r="E78" s="30" t="s">
        <v>122</v>
      </c>
      <c r="F78" s="30" t="s">
        <v>6</v>
      </c>
      <c r="G78" s="38">
        <v>1.22</v>
      </c>
      <c r="H78" s="38">
        <v>1.21</v>
      </c>
      <c r="I78" s="38">
        <v>66</v>
      </c>
      <c r="J78" s="38">
        <v>82</v>
      </c>
      <c r="K78" s="142">
        <v>10</v>
      </c>
      <c r="L78" s="38">
        <v>97.9</v>
      </c>
      <c r="M78" s="38">
        <v>110.2</v>
      </c>
      <c r="N78" s="38">
        <v>0.55566905005107237</v>
      </c>
      <c r="O78" s="38">
        <v>1.4519056261343014E-2</v>
      </c>
      <c r="P78" s="141" t="s">
        <v>65</v>
      </c>
      <c r="Q78" s="38">
        <v>1.1299999999999999</v>
      </c>
      <c r="R78" s="38"/>
      <c r="S78" s="38"/>
      <c r="T78" s="38"/>
      <c r="U78" s="38"/>
      <c r="V78" s="38"/>
      <c r="W78" s="38"/>
      <c r="X78" s="38"/>
      <c r="Y78" s="30"/>
    </row>
    <row r="79" spans="1:25" s="14" customFormat="1" x14ac:dyDescent="0.35">
      <c r="A79" s="30" t="s">
        <v>119</v>
      </c>
      <c r="B79" s="30" t="s">
        <v>120</v>
      </c>
      <c r="C79" s="138">
        <v>2327405</v>
      </c>
      <c r="D79" s="30" t="s">
        <v>121</v>
      </c>
      <c r="E79" s="30" t="s">
        <v>122</v>
      </c>
      <c r="F79" s="30" t="s">
        <v>6</v>
      </c>
      <c r="G79" s="38">
        <v>1.93</v>
      </c>
      <c r="H79" s="38">
        <v>1.76</v>
      </c>
      <c r="I79" s="38">
        <v>72</v>
      </c>
      <c r="J79" s="38">
        <v>84</v>
      </c>
      <c r="K79" s="142">
        <v>20</v>
      </c>
      <c r="L79" s="38">
        <v>185.5</v>
      </c>
      <c r="M79" s="38">
        <v>195.6</v>
      </c>
      <c r="N79" s="38">
        <v>0.12592991913746632</v>
      </c>
      <c r="O79" s="38">
        <v>0</v>
      </c>
      <c r="P79" s="141" t="s">
        <v>65</v>
      </c>
      <c r="Q79" s="38">
        <v>1.56</v>
      </c>
      <c r="R79" s="38"/>
      <c r="S79" s="38"/>
      <c r="T79" s="38"/>
      <c r="U79" s="38"/>
      <c r="V79" s="38"/>
      <c r="W79" s="38"/>
      <c r="X79" s="38"/>
      <c r="Y79" s="30"/>
    </row>
    <row r="80" spans="1:25" s="14" customFormat="1" x14ac:dyDescent="0.35">
      <c r="A80" s="30" t="s">
        <v>119</v>
      </c>
      <c r="B80" s="30" t="s">
        <v>120</v>
      </c>
      <c r="C80" s="138">
        <v>2327406</v>
      </c>
      <c r="D80" s="30" t="s">
        <v>121</v>
      </c>
      <c r="E80" s="30" t="s">
        <v>123</v>
      </c>
      <c r="F80" s="30" t="s">
        <v>6</v>
      </c>
      <c r="G80" s="38">
        <v>1.69</v>
      </c>
      <c r="H80" s="38">
        <v>1.1299999999999999</v>
      </c>
      <c r="I80" s="38">
        <v>58</v>
      </c>
      <c r="J80" s="38">
        <v>76</v>
      </c>
      <c r="K80" s="142">
        <v>6</v>
      </c>
      <c r="L80" s="38">
        <v>88</v>
      </c>
      <c r="M80" s="38">
        <v>69</v>
      </c>
      <c r="N80" s="38"/>
      <c r="O80" s="38"/>
      <c r="P80" s="141" t="s">
        <v>65</v>
      </c>
      <c r="Q80" s="38">
        <v>0.56000000000000005</v>
      </c>
      <c r="R80" s="38"/>
      <c r="S80" s="38"/>
      <c r="T80" s="38"/>
      <c r="U80" s="38"/>
      <c r="V80" s="38"/>
      <c r="W80" s="38"/>
      <c r="X80" s="38"/>
      <c r="Y80" s="30"/>
    </row>
    <row r="81" spans="1:25" s="14" customFormat="1" x14ac:dyDescent="0.35">
      <c r="A81" s="30" t="s">
        <v>119</v>
      </c>
      <c r="B81" s="30" t="s">
        <v>120</v>
      </c>
      <c r="C81" s="138"/>
      <c r="D81" s="30" t="s">
        <v>121</v>
      </c>
      <c r="E81" s="30" t="s">
        <v>123</v>
      </c>
      <c r="F81" s="30" t="s">
        <v>6</v>
      </c>
      <c r="G81" s="38">
        <v>1.01</v>
      </c>
      <c r="H81" s="38">
        <v>0.95</v>
      </c>
      <c r="I81" s="38">
        <v>55</v>
      </c>
      <c r="J81" s="38">
        <v>76</v>
      </c>
      <c r="K81" s="142">
        <v>6</v>
      </c>
      <c r="L81" s="38">
        <v>109.19</v>
      </c>
      <c r="M81" s="38">
        <v>65.28</v>
      </c>
      <c r="N81" s="38">
        <v>1.9782031321549595E-2</v>
      </c>
      <c r="O81" s="38">
        <v>0</v>
      </c>
      <c r="P81" s="141" t="s">
        <v>65</v>
      </c>
      <c r="Q81" s="30"/>
      <c r="R81" s="38"/>
      <c r="S81" s="38"/>
      <c r="T81" s="38"/>
      <c r="U81" s="38"/>
      <c r="V81" s="38"/>
      <c r="W81" s="38"/>
      <c r="X81" s="38"/>
      <c r="Y81" s="30"/>
    </row>
    <row r="82" spans="1:25" s="14" customFormat="1" x14ac:dyDescent="0.35">
      <c r="A82" s="30" t="s">
        <v>119</v>
      </c>
      <c r="B82" s="30" t="s">
        <v>120</v>
      </c>
      <c r="C82" s="138">
        <v>2232234</v>
      </c>
      <c r="D82" s="30" t="s">
        <v>121</v>
      </c>
      <c r="E82" s="30" t="s">
        <v>122</v>
      </c>
      <c r="F82" s="30" t="s">
        <v>6</v>
      </c>
      <c r="G82" s="38">
        <v>1.19</v>
      </c>
      <c r="H82" s="38">
        <v>1.31</v>
      </c>
      <c r="I82" s="38">
        <v>58</v>
      </c>
      <c r="J82" s="38">
        <v>80</v>
      </c>
      <c r="K82" s="142">
        <v>6</v>
      </c>
      <c r="L82" s="38">
        <v>210.28</v>
      </c>
      <c r="M82" s="38">
        <v>121.03</v>
      </c>
      <c r="N82" s="38">
        <v>0.54784097393950915</v>
      </c>
      <c r="O82" s="38">
        <v>0</v>
      </c>
      <c r="P82" s="141" t="s">
        <v>65</v>
      </c>
      <c r="Q82" s="30"/>
      <c r="R82" s="38"/>
      <c r="S82" s="38"/>
      <c r="T82" s="38"/>
      <c r="U82" s="38"/>
      <c r="V82" s="38"/>
      <c r="W82" s="38"/>
      <c r="X82" s="38"/>
      <c r="Y82" s="30"/>
    </row>
    <row r="83" spans="1:25" s="14" customFormat="1" x14ac:dyDescent="0.35">
      <c r="A83" s="30" t="s">
        <v>119</v>
      </c>
      <c r="B83" s="30" t="s">
        <v>120</v>
      </c>
      <c r="C83" s="138">
        <v>2232235</v>
      </c>
      <c r="D83" s="30" t="s">
        <v>121</v>
      </c>
      <c r="E83" s="30" t="s">
        <v>123</v>
      </c>
      <c r="F83" s="30" t="s">
        <v>6</v>
      </c>
      <c r="G83" s="38">
        <v>1.69</v>
      </c>
      <c r="H83" s="38">
        <v>0.92</v>
      </c>
      <c r="I83" s="38">
        <v>58</v>
      </c>
      <c r="J83" s="38">
        <v>76</v>
      </c>
      <c r="K83" s="142">
        <v>6</v>
      </c>
      <c r="L83" s="38">
        <v>111</v>
      </c>
      <c r="M83" s="38">
        <v>63</v>
      </c>
      <c r="N83" s="38"/>
      <c r="O83" s="38"/>
      <c r="P83" s="141" t="s">
        <v>65</v>
      </c>
      <c r="Q83" s="38">
        <v>0.67</v>
      </c>
      <c r="R83" s="38"/>
      <c r="S83" s="38"/>
      <c r="T83" s="38"/>
      <c r="U83" s="38"/>
      <c r="V83" s="38"/>
      <c r="W83" s="38"/>
      <c r="X83" s="38"/>
      <c r="Y83" s="30"/>
    </row>
    <row r="84" spans="1:25" s="14" customFormat="1" x14ac:dyDescent="0.35">
      <c r="A84" s="30" t="s">
        <v>119</v>
      </c>
      <c r="B84" s="30" t="s">
        <v>120</v>
      </c>
      <c r="C84" s="138"/>
      <c r="D84" s="30" t="s">
        <v>121</v>
      </c>
      <c r="E84" s="30" t="s">
        <v>123</v>
      </c>
      <c r="F84" s="30" t="s">
        <v>6</v>
      </c>
      <c r="G84" s="38">
        <v>2.19</v>
      </c>
      <c r="H84" s="38">
        <v>1.1299999999999999</v>
      </c>
      <c r="I84" s="38">
        <v>60</v>
      </c>
      <c r="J84" s="38">
        <v>79</v>
      </c>
      <c r="K84" s="142">
        <v>10</v>
      </c>
      <c r="L84" s="38">
        <v>201</v>
      </c>
      <c r="M84" s="38">
        <v>106</v>
      </c>
      <c r="N84" s="38"/>
      <c r="O84" s="38"/>
      <c r="P84" s="141" t="s">
        <v>65</v>
      </c>
      <c r="Q84" s="38">
        <v>0.86</v>
      </c>
      <c r="R84" s="38"/>
      <c r="S84" s="38"/>
      <c r="T84" s="38"/>
      <c r="U84" s="38"/>
      <c r="V84" s="38"/>
      <c r="W84" s="38"/>
      <c r="X84" s="38"/>
      <c r="Y84" s="30"/>
    </row>
    <row r="85" spans="1:25" s="14" customFormat="1" x14ac:dyDescent="0.35">
      <c r="A85" s="30" t="s">
        <v>119</v>
      </c>
      <c r="B85" s="30" t="s">
        <v>120</v>
      </c>
      <c r="C85" s="138"/>
      <c r="D85" s="30" t="s">
        <v>121</v>
      </c>
      <c r="E85" s="30" t="s">
        <v>123</v>
      </c>
      <c r="F85" s="30" t="s">
        <v>6</v>
      </c>
      <c r="G85" s="38">
        <v>0.92</v>
      </c>
      <c r="H85" s="38">
        <v>0.7</v>
      </c>
      <c r="I85" s="38">
        <v>56</v>
      </c>
      <c r="J85" s="38">
        <v>77</v>
      </c>
      <c r="K85" s="142">
        <v>6</v>
      </c>
      <c r="L85" s="38">
        <v>118.2</v>
      </c>
      <c r="M85" s="38">
        <v>65.400000000000006</v>
      </c>
      <c r="N85" s="38">
        <v>0.10558375634517767</v>
      </c>
      <c r="O85" s="38">
        <v>0</v>
      </c>
      <c r="P85" s="141" t="s">
        <v>65</v>
      </c>
      <c r="Q85" s="30"/>
      <c r="R85" s="38"/>
      <c r="S85" s="38"/>
      <c r="T85" s="38"/>
      <c r="U85" s="38"/>
      <c r="V85" s="38"/>
      <c r="W85" s="38"/>
      <c r="X85" s="38"/>
      <c r="Y85" s="30"/>
    </row>
    <row r="86" spans="1:25" s="14" customFormat="1" x14ac:dyDescent="0.35">
      <c r="A86" s="30" t="s">
        <v>119</v>
      </c>
      <c r="B86" s="30" t="s">
        <v>120</v>
      </c>
      <c r="C86" s="138">
        <v>2359355</v>
      </c>
      <c r="D86" s="30" t="s">
        <v>121</v>
      </c>
      <c r="E86" s="30" t="s">
        <v>123</v>
      </c>
      <c r="F86" s="30" t="s">
        <v>6</v>
      </c>
      <c r="G86" s="38">
        <v>2.2400000000000002</v>
      </c>
      <c r="H86" s="38">
        <v>1.74</v>
      </c>
      <c r="I86" s="38">
        <v>55</v>
      </c>
      <c r="J86" s="38">
        <v>76</v>
      </c>
      <c r="K86" s="142">
        <v>20</v>
      </c>
      <c r="L86" s="38">
        <v>382.6</v>
      </c>
      <c r="M86" s="38">
        <v>187.11</v>
      </c>
      <c r="N86" s="38">
        <v>6.0219550444328272E-2</v>
      </c>
      <c r="O86" s="38">
        <v>0</v>
      </c>
      <c r="P86" s="141" t="s">
        <v>65</v>
      </c>
      <c r="Q86" s="30"/>
      <c r="R86" s="38"/>
      <c r="S86" s="38"/>
      <c r="T86" s="38"/>
      <c r="U86" s="38"/>
      <c r="V86" s="38"/>
      <c r="W86" s="38"/>
      <c r="X86" s="38"/>
      <c r="Y86" s="30"/>
    </row>
    <row r="87" spans="1:25" s="14" customFormat="1" x14ac:dyDescent="0.35">
      <c r="A87" s="30" t="s">
        <v>119</v>
      </c>
      <c r="B87" s="30" t="s">
        <v>120</v>
      </c>
      <c r="C87" s="138">
        <v>2359351</v>
      </c>
      <c r="D87" s="30" t="s">
        <v>121</v>
      </c>
      <c r="E87" s="30" t="s">
        <v>123</v>
      </c>
      <c r="F87" s="30" t="s">
        <v>6</v>
      </c>
      <c r="G87" s="38">
        <v>2.19</v>
      </c>
      <c r="H87" s="38">
        <v>1.1299999999999999</v>
      </c>
      <c r="I87" s="38">
        <v>60</v>
      </c>
      <c r="J87" s="38">
        <v>79</v>
      </c>
      <c r="K87" s="142">
        <v>10</v>
      </c>
      <c r="L87" s="38">
        <v>201</v>
      </c>
      <c r="M87" s="38">
        <v>106</v>
      </c>
      <c r="N87" s="38"/>
      <c r="O87" s="38"/>
      <c r="P87" s="141" t="s">
        <v>65</v>
      </c>
      <c r="Q87" s="30"/>
      <c r="R87" s="38"/>
      <c r="S87" s="38"/>
      <c r="T87" s="38"/>
      <c r="U87" s="38"/>
      <c r="V87" s="38"/>
      <c r="W87" s="38"/>
      <c r="X87" s="38"/>
      <c r="Y87" s="30"/>
    </row>
    <row r="88" spans="1:25" s="14" customFormat="1" x14ac:dyDescent="0.35">
      <c r="A88" s="30" t="s">
        <v>119</v>
      </c>
      <c r="B88" s="30" t="s">
        <v>120</v>
      </c>
      <c r="C88" s="138"/>
      <c r="D88" s="30" t="s">
        <v>121</v>
      </c>
      <c r="E88" s="30" t="s">
        <v>123</v>
      </c>
      <c r="F88" s="30" t="s">
        <v>6</v>
      </c>
      <c r="G88" s="38">
        <v>1.69</v>
      </c>
      <c r="H88" s="38">
        <v>0.92</v>
      </c>
      <c r="I88" s="38">
        <v>58</v>
      </c>
      <c r="J88" s="38">
        <v>76</v>
      </c>
      <c r="K88" s="142">
        <v>6</v>
      </c>
      <c r="L88" s="38">
        <v>111</v>
      </c>
      <c r="M88" s="38">
        <v>63</v>
      </c>
      <c r="N88" s="38"/>
      <c r="O88" s="38"/>
      <c r="P88" s="141" t="s">
        <v>65</v>
      </c>
      <c r="Q88" s="30"/>
      <c r="R88" s="38"/>
      <c r="S88" s="38"/>
      <c r="T88" s="38"/>
      <c r="U88" s="38"/>
      <c r="V88" s="38"/>
      <c r="W88" s="38"/>
      <c r="X88" s="38"/>
      <c r="Y88" s="30"/>
    </row>
    <row r="89" spans="1:25" s="14" customFormat="1" x14ac:dyDescent="0.35">
      <c r="A89" s="30" t="s">
        <v>119</v>
      </c>
      <c r="B89" s="30" t="s">
        <v>120</v>
      </c>
      <c r="C89" s="138"/>
      <c r="D89" s="30" t="s">
        <v>121</v>
      </c>
      <c r="E89" s="30" t="s">
        <v>123</v>
      </c>
      <c r="F89" s="30" t="s">
        <v>6</v>
      </c>
      <c r="G89" s="38">
        <v>1.88</v>
      </c>
      <c r="H89" s="38">
        <v>0.99</v>
      </c>
      <c r="I89" s="38">
        <v>57</v>
      </c>
      <c r="J89" s="38">
        <v>76</v>
      </c>
      <c r="K89" s="142">
        <v>6</v>
      </c>
      <c r="L89" s="38">
        <v>115</v>
      </c>
      <c r="M89" s="38">
        <v>64</v>
      </c>
      <c r="N89" s="38"/>
      <c r="O89" s="38"/>
      <c r="P89" s="141" t="s">
        <v>65</v>
      </c>
      <c r="Q89" s="30"/>
      <c r="R89" s="38"/>
      <c r="S89" s="38"/>
      <c r="T89" s="38"/>
      <c r="U89" s="38"/>
      <c r="V89" s="38"/>
      <c r="W89" s="38"/>
      <c r="X89" s="38"/>
      <c r="Y89" s="30"/>
    </row>
    <row r="90" spans="1:25" s="14" customFormat="1" x14ac:dyDescent="0.35">
      <c r="A90" s="30" t="s">
        <v>119</v>
      </c>
      <c r="B90" s="30" t="s">
        <v>120</v>
      </c>
      <c r="C90" s="138"/>
      <c r="D90" s="30" t="s">
        <v>121</v>
      </c>
      <c r="E90" s="30" t="s">
        <v>123</v>
      </c>
      <c r="F90" s="30" t="s">
        <v>6</v>
      </c>
      <c r="G90" s="38">
        <v>1.1100000000000001</v>
      </c>
      <c r="H90" s="38">
        <v>1.25</v>
      </c>
      <c r="I90" s="38">
        <v>63</v>
      </c>
      <c r="J90" s="38">
        <v>79</v>
      </c>
      <c r="K90" s="142">
        <v>10</v>
      </c>
      <c r="L90" s="38">
        <v>108.16</v>
      </c>
      <c r="M90" s="38">
        <v>87.39</v>
      </c>
      <c r="N90" s="38">
        <v>1.5754437869822484</v>
      </c>
      <c r="O90" s="38">
        <v>0</v>
      </c>
      <c r="P90" s="141" t="s">
        <v>65</v>
      </c>
      <c r="Q90" s="30"/>
      <c r="R90" s="38"/>
      <c r="S90" s="38"/>
      <c r="T90" s="38"/>
      <c r="U90" s="38"/>
      <c r="V90" s="38"/>
      <c r="W90" s="38"/>
      <c r="X90" s="38"/>
      <c r="Y90" s="30"/>
    </row>
    <row r="91" spans="1:25" s="14" customFormat="1" x14ac:dyDescent="0.35">
      <c r="A91" s="30" t="s">
        <v>119</v>
      </c>
      <c r="B91" s="30" t="s">
        <v>120</v>
      </c>
      <c r="C91" s="138">
        <v>2277280</v>
      </c>
      <c r="D91" s="30" t="s">
        <v>121</v>
      </c>
      <c r="E91" s="30" t="s">
        <v>123</v>
      </c>
      <c r="F91" s="30" t="s">
        <v>6</v>
      </c>
      <c r="G91" s="38">
        <v>1.0900000000000001</v>
      </c>
      <c r="H91" s="38">
        <v>1.27</v>
      </c>
      <c r="I91" s="38">
        <v>68</v>
      </c>
      <c r="J91" s="38">
        <v>82</v>
      </c>
      <c r="K91" s="142">
        <v>10</v>
      </c>
      <c r="L91" s="38">
        <v>97.14</v>
      </c>
      <c r="M91" s="38">
        <v>94.05</v>
      </c>
      <c r="N91" s="38">
        <v>1.3753345686637841</v>
      </c>
      <c r="O91" s="38">
        <v>0</v>
      </c>
      <c r="P91" s="141" t="s">
        <v>65</v>
      </c>
      <c r="Q91" s="30"/>
      <c r="R91" s="38"/>
      <c r="S91" s="38"/>
      <c r="T91" s="38"/>
      <c r="U91" s="38"/>
      <c r="V91" s="38"/>
      <c r="W91" s="38"/>
      <c r="X91" s="38"/>
      <c r="Y91" s="30"/>
    </row>
    <row r="92" spans="1:25" s="14" customFormat="1" x14ac:dyDescent="0.35">
      <c r="A92" s="30" t="s">
        <v>119</v>
      </c>
      <c r="B92" s="30" t="s">
        <v>120</v>
      </c>
      <c r="C92" s="138">
        <v>2277281</v>
      </c>
      <c r="D92" s="30" t="s">
        <v>121</v>
      </c>
      <c r="E92" s="30" t="s">
        <v>123</v>
      </c>
      <c r="F92" s="30" t="s">
        <v>6</v>
      </c>
      <c r="G92" s="38">
        <v>1.56</v>
      </c>
      <c r="H92" s="38">
        <v>1</v>
      </c>
      <c r="I92" s="38">
        <v>67</v>
      </c>
      <c r="J92" s="38">
        <v>77</v>
      </c>
      <c r="K92" s="142">
        <v>7</v>
      </c>
      <c r="L92" s="38">
        <v>116.5</v>
      </c>
      <c r="M92" s="38">
        <v>65.42</v>
      </c>
      <c r="N92" s="38">
        <v>0.98884120171673828</v>
      </c>
      <c r="O92" s="38">
        <v>0</v>
      </c>
      <c r="P92" s="141" t="s">
        <v>65</v>
      </c>
      <c r="Q92" s="30"/>
      <c r="R92" s="38"/>
      <c r="S92" s="38"/>
      <c r="T92" s="38"/>
      <c r="U92" s="38"/>
      <c r="V92" s="38"/>
      <c r="W92" s="38"/>
      <c r="X92" s="38"/>
      <c r="Y92" s="30"/>
    </row>
    <row r="93" spans="1:25" s="14" customFormat="1" x14ac:dyDescent="0.35">
      <c r="A93" s="30" t="s">
        <v>119</v>
      </c>
      <c r="B93" s="30" t="s">
        <v>120</v>
      </c>
      <c r="C93" s="138">
        <v>2345784</v>
      </c>
      <c r="D93" s="30" t="s">
        <v>121</v>
      </c>
      <c r="E93" s="30" t="s">
        <v>123</v>
      </c>
      <c r="F93" s="30" t="s">
        <v>6</v>
      </c>
      <c r="G93" s="38">
        <v>3.17</v>
      </c>
      <c r="H93" s="38">
        <v>2.1</v>
      </c>
      <c r="I93" s="38">
        <v>56</v>
      </c>
      <c r="J93" s="38">
        <v>77</v>
      </c>
      <c r="K93" s="142">
        <v>20</v>
      </c>
      <c r="L93" s="38">
        <v>399.84</v>
      </c>
      <c r="M93" s="38">
        <v>215.55</v>
      </c>
      <c r="N93" s="38">
        <v>2.3209283713485393E-2</v>
      </c>
      <c r="O93" s="38">
        <v>0</v>
      </c>
      <c r="P93" s="141" t="s">
        <v>65</v>
      </c>
      <c r="Q93" s="30"/>
      <c r="R93" s="38"/>
      <c r="S93" s="38"/>
      <c r="T93" s="38"/>
      <c r="U93" s="38"/>
      <c r="V93" s="38"/>
      <c r="W93" s="38"/>
      <c r="X93" s="38"/>
      <c r="Y93" s="30"/>
    </row>
    <row r="94" spans="1:25" s="14" customFormat="1" x14ac:dyDescent="0.35">
      <c r="A94" s="30" t="s">
        <v>119</v>
      </c>
      <c r="B94" s="30" t="s">
        <v>120</v>
      </c>
      <c r="C94" s="138">
        <v>2359757</v>
      </c>
      <c r="D94" s="30" t="s">
        <v>121</v>
      </c>
      <c r="E94" s="30" t="s">
        <v>123</v>
      </c>
      <c r="F94" s="30" t="s">
        <v>6</v>
      </c>
      <c r="G94" s="38">
        <v>3.06</v>
      </c>
      <c r="H94" s="38">
        <v>2.1</v>
      </c>
      <c r="I94" s="38">
        <v>56</v>
      </c>
      <c r="J94" s="38">
        <v>77</v>
      </c>
      <c r="K94" s="142">
        <v>20</v>
      </c>
      <c r="L94" s="38">
        <v>378</v>
      </c>
      <c r="M94" s="38">
        <v>197.2</v>
      </c>
      <c r="N94" s="38">
        <v>6.2010582010582016E-2</v>
      </c>
      <c r="O94" s="38">
        <v>0</v>
      </c>
      <c r="P94" s="141" t="s">
        <v>65</v>
      </c>
      <c r="Q94" s="30"/>
      <c r="R94" s="38"/>
      <c r="S94" s="38"/>
      <c r="T94" s="38"/>
      <c r="U94" s="38"/>
      <c r="V94" s="38"/>
      <c r="W94" s="38"/>
      <c r="X94" s="38"/>
      <c r="Y94" s="30"/>
    </row>
    <row r="95" spans="1:25" s="14" customFormat="1" x14ac:dyDescent="0.35">
      <c r="A95" s="30" t="s">
        <v>119</v>
      </c>
      <c r="B95" s="30" t="s">
        <v>120</v>
      </c>
      <c r="C95" s="138">
        <v>2359759</v>
      </c>
      <c r="D95" s="30" t="s">
        <v>121</v>
      </c>
      <c r="E95" s="30" t="s">
        <v>123</v>
      </c>
      <c r="F95" s="30" t="s">
        <v>6</v>
      </c>
      <c r="G95" s="38">
        <v>2.21</v>
      </c>
      <c r="H95" s="38">
        <v>1.01</v>
      </c>
      <c r="I95" s="38">
        <v>60</v>
      </c>
      <c r="J95" s="38">
        <v>71</v>
      </c>
      <c r="K95" s="142">
        <v>5</v>
      </c>
      <c r="L95" s="38">
        <v>71</v>
      </c>
      <c r="M95" s="38">
        <v>48</v>
      </c>
      <c r="N95" s="38"/>
      <c r="O95" s="38"/>
      <c r="P95" s="141" t="s">
        <v>65</v>
      </c>
      <c r="Q95" s="38">
        <v>0.43</v>
      </c>
      <c r="R95" s="38"/>
      <c r="S95" s="38"/>
      <c r="T95" s="38"/>
      <c r="U95" s="38"/>
      <c r="V95" s="38"/>
      <c r="W95" s="38"/>
      <c r="X95" s="38"/>
      <c r="Y95" s="30"/>
    </row>
    <row r="96" spans="1:25" s="14" customFormat="1" x14ac:dyDescent="0.35">
      <c r="A96" s="30" t="s">
        <v>119</v>
      </c>
      <c r="B96" s="30" t="s">
        <v>120</v>
      </c>
      <c r="C96" s="138"/>
      <c r="D96" s="30" t="s">
        <v>121</v>
      </c>
      <c r="E96" s="30" t="s">
        <v>123</v>
      </c>
      <c r="F96" s="30" t="s">
        <v>6</v>
      </c>
      <c r="G96" s="38">
        <v>2.21</v>
      </c>
      <c r="H96" s="38">
        <v>1.01</v>
      </c>
      <c r="I96" s="38">
        <v>60</v>
      </c>
      <c r="J96" s="38">
        <v>71</v>
      </c>
      <c r="K96" s="142">
        <v>5</v>
      </c>
      <c r="L96" s="38">
        <v>71</v>
      </c>
      <c r="M96" s="38">
        <v>48</v>
      </c>
      <c r="N96" s="38"/>
      <c r="O96" s="38"/>
      <c r="P96" s="141" t="s">
        <v>65</v>
      </c>
      <c r="Q96" s="30"/>
      <c r="R96" s="38"/>
      <c r="S96" s="38"/>
      <c r="T96" s="38"/>
      <c r="U96" s="38"/>
      <c r="V96" s="38"/>
      <c r="W96" s="38"/>
      <c r="X96" s="38"/>
      <c r="Y96" s="30"/>
    </row>
    <row r="97" spans="1:25" s="14" customFormat="1" x14ac:dyDescent="0.35">
      <c r="A97" s="30" t="s">
        <v>119</v>
      </c>
      <c r="B97" s="30" t="s">
        <v>120</v>
      </c>
      <c r="C97" s="138"/>
      <c r="D97" s="30" t="s">
        <v>121</v>
      </c>
      <c r="E97" s="30" t="s">
        <v>122</v>
      </c>
      <c r="F97" s="30" t="s">
        <v>6</v>
      </c>
      <c r="G97" s="38">
        <v>2.85</v>
      </c>
      <c r="H97" s="38">
        <v>3.03</v>
      </c>
      <c r="I97" s="38">
        <v>71.599999999999994</v>
      </c>
      <c r="J97" s="38">
        <v>82.7</v>
      </c>
      <c r="K97" s="142">
        <v>32</v>
      </c>
      <c r="L97" s="38">
        <v>309.92</v>
      </c>
      <c r="M97" s="38">
        <v>291.91000000000003</v>
      </c>
      <c r="N97" s="38"/>
      <c r="O97" s="38"/>
      <c r="P97" s="141" t="s">
        <v>65</v>
      </c>
      <c r="Q97" s="30"/>
      <c r="R97" s="38"/>
      <c r="S97" s="38"/>
      <c r="T97" s="38"/>
      <c r="U97" s="38"/>
      <c r="V97" s="38"/>
      <c r="W97" s="38"/>
      <c r="X97" s="38"/>
      <c r="Y97" s="30"/>
    </row>
    <row r="98" spans="1:25" s="14" customFormat="1" x14ac:dyDescent="0.35">
      <c r="A98" s="30" t="s">
        <v>119</v>
      </c>
      <c r="B98" s="30" t="s">
        <v>120</v>
      </c>
      <c r="C98" s="138"/>
      <c r="D98" s="30" t="s">
        <v>121</v>
      </c>
      <c r="E98" s="30" t="s">
        <v>123</v>
      </c>
      <c r="F98" s="30" t="s">
        <v>6</v>
      </c>
      <c r="G98" s="38">
        <v>1.18</v>
      </c>
      <c r="H98" s="38">
        <v>0.75</v>
      </c>
      <c r="I98" s="38">
        <v>67</v>
      </c>
      <c r="J98" s="38">
        <v>77</v>
      </c>
      <c r="K98" s="142">
        <v>5</v>
      </c>
      <c r="L98" s="38">
        <v>59.9</v>
      </c>
      <c r="M98" s="38">
        <v>51.97</v>
      </c>
      <c r="N98" s="38">
        <v>0.39131886477462441</v>
      </c>
      <c r="O98" s="38">
        <v>0</v>
      </c>
      <c r="P98" s="141" t="s">
        <v>65</v>
      </c>
      <c r="Q98" s="30"/>
      <c r="R98" s="38"/>
      <c r="S98" s="38"/>
      <c r="T98" s="38"/>
      <c r="U98" s="38"/>
      <c r="V98" s="38"/>
      <c r="W98" s="38"/>
      <c r="X98" s="38"/>
      <c r="Y98" s="30"/>
    </row>
    <row r="99" spans="1:25" s="14" customFormat="1" x14ac:dyDescent="0.35">
      <c r="A99" s="30" t="s">
        <v>119</v>
      </c>
      <c r="B99" s="30" t="s">
        <v>120</v>
      </c>
      <c r="C99" s="138">
        <v>2345783</v>
      </c>
      <c r="D99" s="30" t="s">
        <v>121</v>
      </c>
      <c r="E99" s="30" t="s">
        <v>123</v>
      </c>
      <c r="F99" s="30" t="s">
        <v>6</v>
      </c>
      <c r="G99" s="38">
        <v>0.76</v>
      </c>
      <c r="H99" s="38">
        <v>0.81</v>
      </c>
      <c r="I99" s="38">
        <v>63</v>
      </c>
      <c r="J99" s="38">
        <v>76</v>
      </c>
      <c r="K99" s="142">
        <v>5</v>
      </c>
      <c r="L99" s="38">
        <v>58.96</v>
      </c>
      <c r="M99" s="38">
        <v>46.08</v>
      </c>
      <c r="N99" s="38">
        <v>0.16282225237449119</v>
      </c>
      <c r="O99" s="38">
        <v>0</v>
      </c>
      <c r="P99" s="141" t="s">
        <v>65</v>
      </c>
      <c r="Q99" s="30"/>
      <c r="R99" s="38"/>
      <c r="S99" s="38"/>
      <c r="T99" s="38"/>
      <c r="U99" s="38"/>
      <c r="V99" s="38"/>
      <c r="W99" s="38"/>
      <c r="X99" s="38"/>
      <c r="Y99" s="30"/>
    </row>
    <row r="100" spans="1:25" s="14" customFormat="1" x14ac:dyDescent="0.35">
      <c r="A100" s="30" t="s">
        <v>119</v>
      </c>
      <c r="B100" s="30" t="s">
        <v>120</v>
      </c>
      <c r="C100" s="138">
        <v>2268435</v>
      </c>
      <c r="D100" s="30" t="s">
        <v>121</v>
      </c>
      <c r="E100" s="30" t="s">
        <v>123</v>
      </c>
      <c r="F100" s="30" t="s">
        <v>6</v>
      </c>
      <c r="G100" s="38">
        <v>0.69</v>
      </c>
      <c r="H100" s="38">
        <v>0.81</v>
      </c>
      <c r="I100" s="38">
        <v>65</v>
      </c>
      <c r="J100" s="38">
        <v>78</v>
      </c>
      <c r="K100" s="142">
        <v>5</v>
      </c>
      <c r="L100" s="38">
        <v>59.97</v>
      </c>
      <c r="M100" s="38">
        <v>51.13</v>
      </c>
      <c r="N100" s="38">
        <v>0.39086209771552449</v>
      </c>
      <c r="O100" s="38">
        <v>0</v>
      </c>
      <c r="P100" s="141" t="s">
        <v>65</v>
      </c>
      <c r="Q100" s="30"/>
      <c r="R100" s="38"/>
      <c r="S100" s="38"/>
      <c r="T100" s="38"/>
      <c r="U100" s="38"/>
      <c r="V100" s="38"/>
      <c r="W100" s="38"/>
      <c r="X100" s="38"/>
      <c r="Y100" s="30"/>
    </row>
    <row r="101" spans="1:25" s="14" customFormat="1" x14ac:dyDescent="0.35">
      <c r="A101" s="30" t="s">
        <v>119</v>
      </c>
      <c r="B101" s="30" t="s">
        <v>120</v>
      </c>
      <c r="C101" s="138">
        <v>2268436</v>
      </c>
      <c r="D101" s="30" t="s">
        <v>121</v>
      </c>
      <c r="E101" s="30" t="s">
        <v>122</v>
      </c>
      <c r="F101" s="30" t="s">
        <v>6</v>
      </c>
      <c r="G101" s="38">
        <v>13.1</v>
      </c>
      <c r="H101" s="38">
        <v>2.86</v>
      </c>
      <c r="I101" s="38">
        <v>47</v>
      </c>
      <c r="J101" s="38">
        <v>74.7</v>
      </c>
      <c r="K101" s="142">
        <v>20</v>
      </c>
      <c r="L101" s="38"/>
      <c r="M101" s="38"/>
      <c r="N101" s="38"/>
      <c r="O101" s="38"/>
      <c r="P101" s="141" t="s">
        <v>65</v>
      </c>
      <c r="Q101" s="30"/>
      <c r="R101" s="38"/>
      <c r="S101" s="38"/>
      <c r="T101" s="38"/>
      <c r="U101" s="38"/>
      <c r="V101" s="38"/>
      <c r="W101" s="38"/>
      <c r="X101" s="38"/>
      <c r="Y101" s="30"/>
    </row>
    <row r="102" spans="1:25" s="14" customFormat="1" x14ac:dyDescent="0.35">
      <c r="A102" s="30" t="s">
        <v>119</v>
      </c>
      <c r="B102" s="30" t="s">
        <v>120</v>
      </c>
      <c r="C102" s="138"/>
      <c r="D102" s="30" t="s">
        <v>121</v>
      </c>
      <c r="E102" s="30" t="s">
        <v>122</v>
      </c>
      <c r="F102" s="30" t="s">
        <v>6</v>
      </c>
      <c r="G102" s="38">
        <v>3.14</v>
      </c>
      <c r="H102" s="38">
        <v>2.2999999999999998</v>
      </c>
      <c r="I102" s="38">
        <v>60</v>
      </c>
      <c r="J102" s="38">
        <v>74.8</v>
      </c>
      <c r="K102" s="142">
        <v>14</v>
      </c>
      <c r="L102" s="38"/>
      <c r="M102" s="38"/>
      <c r="N102" s="38"/>
      <c r="O102" s="38"/>
      <c r="P102" s="141" t="s">
        <v>65</v>
      </c>
      <c r="Q102" s="30"/>
      <c r="R102" s="38"/>
      <c r="S102" s="38"/>
      <c r="T102" s="38"/>
      <c r="U102" s="38"/>
      <c r="V102" s="38"/>
      <c r="W102" s="38"/>
      <c r="X102" s="38"/>
      <c r="Y102" s="30"/>
    </row>
    <row r="103" spans="1:25" s="14" customFormat="1" x14ac:dyDescent="0.35">
      <c r="A103" s="30" t="s">
        <v>119</v>
      </c>
      <c r="B103" s="30" t="s">
        <v>120</v>
      </c>
      <c r="C103" s="138"/>
      <c r="D103" s="30" t="s">
        <v>121</v>
      </c>
      <c r="E103" s="30" t="s">
        <v>122</v>
      </c>
      <c r="F103" s="30" t="s">
        <v>6</v>
      </c>
      <c r="G103" s="38">
        <v>2.13</v>
      </c>
      <c r="H103" s="38">
        <v>1.56</v>
      </c>
      <c r="I103" s="38">
        <v>60</v>
      </c>
      <c r="J103" s="38">
        <v>79</v>
      </c>
      <c r="K103" s="142">
        <v>14</v>
      </c>
      <c r="L103" s="38"/>
      <c r="M103" s="38"/>
      <c r="N103" s="38"/>
      <c r="O103" s="38"/>
      <c r="P103" s="141" t="s">
        <v>65</v>
      </c>
      <c r="Q103" s="30"/>
      <c r="R103" s="38"/>
      <c r="S103" s="38"/>
      <c r="T103" s="38"/>
      <c r="U103" s="38"/>
      <c r="V103" s="38"/>
      <c r="W103" s="38"/>
      <c r="X103" s="38"/>
      <c r="Y103" s="30"/>
    </row>
    <row r="104" spans="1:25" s="14" customFormat="1" x14ac:dyDescent="0.35">
      <c r="A104" s="30" t="s">
        <v>119</v>
      </c>
      <c r="B104" s="30" t="s">
        <v>120</v>
      </c>
      <c r="C104" s="138"/>
      <c r="D104" s="30" t="s">
        <v>121</v>
      </c>
      <c r="E104" s="30" t="s">
        <v>122</v>
      </c>
      <c r="F104" s="30" t="s">
        <v>6</v>
      </c>
      <c r="G104" s="38">
        <v>2.0299999999999998</v>
      </c>
      <c r="H104" s="38">
        <v>1.61</v>
      </c>
      <c r="I104" s="38">
        <v>57.999999999999993</v>
      </c>
      <c r="J104" s="38">
        <v>85</v>
      </c>
      <c r="K104" s="142">
        <v>14</v>
      </c>
      <c r="L104" s="38"/>
      <c r="M104" s="38"/>
      <c r="N104" s="38"/>
      <c r="O104" s="38"/>
      <c r="P104" s="141" t="s">
        <v>65</v>
      </c>
      <c r="Q104" s="30"/>
      <c r="R104" s="38"/>
      <c r="S104" s="38"/>
      <c r="T104" s="38"/>
      <c r="U104" s="38"/>
      <c r="V104" s="38"/>
      <c r="W104" s="38"/>
      <c r="X104" s="38"/>
      <c r="Y104" s="30"/>
    </row>
    <row r="105" spans="1:25" s="14" customFormat="1" x14ac:dyDescent="0.35">
      <c r="A105" s="30" t="s">
        <v>119</v>
      </c>
      <c r="B105" s="30" t="s">
        <v>120</v>
      </c>
      <c r="C105" s="138"/>
      <c r="D105" s="30" t="s">
        <v>121</v>
      </c>
      <c r="E105" s="30" t="s">
        <v>123</v>
      </c>
      <c r="F105" s="30" t="s">
        <v>6</v>
      </c>
      <c r="G105" s="38">
        <v>4</v>
      </c>
      <c r="H105" s="38">
        <v>1.2</v>
      </c>
      <c r="I105" s="38">
        <v>55.000000000000007</v>
      </c>
      <c r="J105" s="38">
        <v>76.03</v>
      </c>
      <c r="K105" s="142">
        <v>11</v>
      </c>
      <c r="L105" s="38"/>
      <c r="M105" s="38"/>
      <c r="N105" s="38"/>
      <c r="O105" s="38"/>
      <c r="P105" s="141" t="s">
        <v>65</v>
      </c>
      <c r="Q105" s="30"/>
      <c r="R105" s="38"/>
      <c r="S105" s="38"/>
      <c r="T105" s="38"/>
      <c r="U105" s="38"/>
      <c r="V105" s="38"/>
      <c r="W105" s="38"/>
      <c r="X105" s="38"/>
      <c r="Y105" s="30"/>
    </row>
    <row r="106" spans="1:25" s="14" customFormat="1" x14ac:dyDescent="0.35">
      <c r="A106" s="30" t="s">
        <v>119</v>
      </c>
      <c r="B106" s="30" t="s">
        <v>120</v>
      </c>
      <c r="C106" s="138"/>
      <c r="D106" s="30" t="s">
        <v>121</v>
      </c>
      <c r="E106" s="30" t="s">
        <v>123</v>
      </c>
      <c r="F106" s="30" t="s">
        <v>6</v>
      </c>
      <c r="G106" s="38">
        <v>6.65</v>
      </c>
      <c r="H106" s="38">
        <v>1.56</v>
      </c>
      <c r="I106" s="38">
        <v>49</v>
      </c>
      <c r="J106" s="38">
        <v>70.099999999999994</v>
      </c>
      <c r="K106" s="142">
        <v>9</v>
      </c>
      <c r="L106" s="38"/>
      <c r="M106" s="38"/>
      <c r="N106" s="38"/>
      <c r="O106" s="38"/>
      <c r="P106" s="141" t="s">
        <v>65</v>
      </c>
      <c r="Q106" s="30"/>
      <c r="R106" s="38"/>
      <c r="S106" s="38"/>
      <c r="T106" s="38"/>
      <c r="U106" s="38"/>
      <c r="V106" s="38"/>
      <c r="W106" s="38"/>
      <c r="X106" s="38"/>
      <c r="Y106" s="30"/>
    </row>
    <row r="107" spans="1:25" s="14" customFormat="1" x14ac:dyDescent="0.35">
      <c r="A107" s="30" t="s">
        <v>119</v>
      </c>
      <c r="B107" s="30" t="s">
        <v>120</v>
      </c>
      <c r="C107" s="138"/>
      <c r="D107" s="30" t="s">
        <v>121</v>
      </c>
      <c r="E107" s="30" t="s">
        <v>123</v>
      </c>
      <c r="F107" s="30" t="s">
        <v>6</v>
      </c>
      <c r="G107" s="38">
        <v>1.69</v>
      </c>
      <c r="H107" s="38">
        <v>1.1299999999999999</v>
      </c>
      <c r="I107" s="38">
        <v>57.999999999999993</v>
      </c>
      <c r="J107" s="38">
        <v>76</v>
      </c>
      <c r="K107" s="142">
        <v>6</v>
      </c>
      <c r="L107" s="38"/>
      <c r="M107" s="38"/>
      <c r="N107" s="38"/>
      <c r="O107" s="38"/>
      <c r="P107" s="141" t="s">
        <v>65</v>
      </c>
      <c r="Q107" s="30"/>
      <c r="R107" s="38"/>
      <c r="S107" s="38"/>
      <c r="T107" s="38"/>
      <c r="U107" s="38"/>
      <c r="V107" s="38"/>
      <c r="W107" s="38"/>
      <c r="X107" s="38"/>
      <c r="Y107" s="30"/>
    </row>
    <row r="108" spans="1:25" s="14" customFormat="1" x14ac:dyDescent="0.35">
      <c r="A108" s="30" t="s">
        <v>119</v>
      </c>
      <c r="B108" s="30" t="s">
        <v>120</v>
      </c>
      <c r="C108" s="138"/>
      <c r="D108" s="30" t="s">
        <v>121</v>
      </c>
      <c r="E108" s="30" t="s">
        <v>123</v>
      </c>
      <c r="F108" s="30" t="s">
        <v>6</v>
      </c>
      <c r="G108" s="38">
        <v>5.0999999999999996</v>
      </c>
      <c r="H108" s="38">
        <v>1.08</v>
      </c>
      <c r="I108" s="38">
        <v>31</v>
      </c>
      <c r="J108" s="38">
        <v>71</v>
      </c>
      <c r="K108" s="142">
        <v>5</v>
      </c>
      <c r="L108" s="38"/>
      <c r="M108" s="38"/>
      <c r="N108" s="38"/>
      <c r="O108" s="38"/>
      <c r="P108" s="141" t="s">
        <v>65</v>
      </c>
      <c r="Q108" s="30"/>
      <c r="R108" s="38"/>
      <c r="S108" s="38"/>
      <c r="T108" s="38"/>
      <c r="U108" s="38"/>
      <c r="V108" s="38"/>
      <c r="W108" s="38"/>
      <c r="X108" s="38"/>
      <c r="Y108" s="30"/>
    </row>
    <row r="109" spans="1:25" s="14" customFormat="1" x14ac:dyDescent="0.35">
      <c r="A109" s="30" t="s">
        <v>119</v>
      </c>
      <c r="B109" s="30" t="s">
        <v>120</v>
      </c>
      <c r="C109" s="138"/>
      <c r="D109" s="30" t="s">
        <v>121</v>
      </c>
      <c r="E109" s="30" t="s">
        <v>123</v>
      </c>
      <c r="F109" s="30" t="s">
        <v>6</v>
      </c>
      <c r="G109" s="38">
        <v>3.45</v>
      </c>
      <c r="H109" s="38">
        <v>1.65</v>
      </c>
      <c r="I109" s="38">
        <v>48</v>
      </c>
      <c r="J109" s="38">
        <v>65.3</v>
      </c>
      <c r="K109" s="142">
        <v>5</v>
      </c>
      <c r="L109" s="38"/>
      <c r="M109" s="38"/>
      <c r="N109" s="38"/>
      <c r="O109" s="38"/>
      <c r="P109" s="141" t="s">
        <v>65</v>
      </c>
      <c r="Q109" s="30"/>
      <c r="R109" s="38"/>
      <c r="S109" s="38"/>
      <c r="T109" s="38"/>
      <c r="U109" s="38"/>
      <c r="V109" s="38"/>
      <c r="W109" s="38"/>
      <c r="X109" s="38"/>
      <c r="Y109" s="30"/>
    </row>
    <row r="110" spans="1:25" s="14" customFormat="1" x14ac:dyDescent="0.35">
      <c r="A110" s="30" t="s">
        <v>119</v>
      </c>
      <c r="B110" s="30" t="s">
        <v>120</v>
      </c>
      <c r="C110" s="138"/>
      <c r="D110" s="30" t="s">
        <v>121</v>
      </c>
      <c r="E110" s="30" t="s">
        <v>123</v>
      </c>
      <c r="F110" s="30" t="s">
        <v>6</v>
      </c>
      <c r="G110" s="38">
        <v>2.4900000000000002</v>
      </c>
      <c r="H110" s="38">
        <v>1.65</v>
      </c>
      <c r="I110" s="38">
        <v>51</v>
      </c>
      <c r="J110" s="38">
        <v>63.67</v>
      </c>
      <c r="K110" s="142">
        <v>5</v>
      </c>
      <c r="L110" s="38"/>
      <c r="M110" s="38"/>
      <c r="N110" s="38"/>
      <c r="O110" s="38"/>
      <c r="P110" s="141" t="s">
        <v>65</v>
      </c>
      <c r="Q110" s="30"/>
      <c r="R110" s="38"/>
      <c r="S110" s="38"/>
      <c r="T110" s="38"/>
      <c r="U110" s="38"/>
      <c r="V110" s="38"/>
      <c r="W110" s="38"/>
      <c r="X110" s="38"/>
      <c r="Y110" s="30"/>
    </row>
    <row r="111" spans="1:25" s="14" customFormat="1" x14ac:dyDescent="0.35">
      <c r="A111" s="30" t="s">
        <v>119</v>
      </c>
      <c r="B111" s="30" t="s">
        <v>120</v>
      </c>
      <c r="C111" s="138"/>
      <c r="D111" s="30" t="s">
        <v>121</v>
      </c>
      <c r="E111" s="30" t="s">
        <v>123</v>
      </c>
      <c r="F111" s="30" t="s">
        <v>6</v>
      </c>
      <c r="G111" s="38">
        <v>1.62</v>
      </c>
      <c r="H111" s="38">
        <v>1.02</v>
      </c>
      <c r="I111" s="38">
        <v>55.000000000000007</v>
      </c>
      <c r="J111" s="38">
        <v>66.2</v>
      </c>
      <c r="K111" s="142">
        <v>6</v>
      </c>
      <c r="L111" s="38"/>
      <c r="M111" s="38"/>
      <c r="N111" s="38"/>
      <c r="O111" s="38"/>
      <c r="P111" s="141" t="s">
        <v>65</v>
      </c>
      <c r="Q111" s="30"/>
      <c r="R111" s="38"/>
      <c r="S111" s="38"/>
      <c r="T111" s="38"/>
      <c r="U111" s="38"/>
      <c r="V111" s="38"/>
      <c r="W111" s="38"/>
      <c r="X111" s="38"/>
      <c r="Y111" s="30"/>
    </row>
    <row r="112" spans="1:25" s="14" customFormat="1" x14ac:dyDescent="0.35">
      <c r="A112" s="30" t="s">
        <v>119</v>
      </c>
      <c r="B112" s="30" t="s">
        <v>120</v>
      </c>
      <c r="C112" s="138"/>
      <c r="D112" s="30" t="s">
        <v>121</v>
      </c>
      <c r="E112" s="30"/>
      <c r="F112" s="30" t="s">
        <v>6</v>
      </c>
      <c r="G112" s="38">
        <v>10</v>
      </c>
      <c r="H112" s="38">
        <v>3</v>
      </c>
      <c r="I112" s="38">
        <v>40</v>
      </c>
      <c r="J112" s="38">
        <v>65</v>
      </c>
      <c r="K112" s="142">
        <v>10</v>
      </c>
      <c r="L112" s="38">
        <v>100</v>
      </c>
      <c r="M112" s="38">
        <v>80</v>
      </c>
      <c r="N112" s="38">
        <v>2.4000000000000004</v>
      </c>
      <c r="O112" s="38">
        <v>0</v>
      </c>
      <c r="P112" s="141" t="s">
        <v>65</v>
      </c>
      <c r="Q112" s="38">
        <v>3</v>
      </c>
      <c r="R112" s="38"/>
      <c r="S112" s="38"/>
      <c r="T112" s="38"/>
      <c r="U112" s="38"/>
      <c r="V112" s="38"/>
      <c r="W112" s="38"/>
      <c r="X112" s="38"/>
      <c r="Y112" s="30"/>
    </row>
    <row r="113" spans="1:25" s="14" customFormat="1" x14ac:dyDescent="0.35">
      <c r="A113" s="30" t="s">
        <v>119</v>
      </c>
      <c r="B113" s="30" t="s">
        <v>120</v>
      </c>
      <c r="C113" s="138" t="s">
        <v>124</v>
      </c>
      <c r="D113" s="30" t="s">
        <v>121</v>
      </c>
      <c r="E113" s="30"/>
      <c r="F113" s="30" t="s">
        <v>6</v>
      </c>
      <c r="G113" s="38">
        <v>10</v>
      </c>
      <c r="H113" s="38">
        <v>3</v>
      </c>
      <c r="I113" s="38">
        <v>40</v>
      </c>
      <c r="J113" s="38">
        <v>65</v>
      </c>
      <c r="K113" s="142">
        <v>10</v>
      </c>
      <c r="L113" s="38">
        <v>100</v>
      </c>
      <c r="M113" s="38">
        <v>80</v>
      </c>
      <c r="N113" s="38">
        <v>2.4000000000000004</v>
      </c>
      <c r="O113" s="38">
        <v>0</v>
      </c>
      <c r="P113" s="141" t="s">
        <v>65</v>
      </c>
      <c r="Q113" s="38">
        <v>3</v>
      </c>
      <c r="R113" s="38"/>
      <c r="S113" s="38"/>
      <c r="T113" s="38"/>
      <c r="U113" s="38"/>
      <c r="V113" s="38"/>
      <c r="W113" s="38"/>
      <c r="X113" s="38"/>
      <c r="Y113" s="30"/>
    </row>
    <row r="114" spans="1:25" s="14" customFormat="1" x14ac:dyDescent="0.35">
      <c r="A114" s="30" t="s">
        <v>119</v>
      </c>
      <c r="B114" s="30" t="s">
        <v>120</v>
      </c>
      <c r="C114" s="138" t="s">
        <v>124</v>
      </c>
      <c r="D114" s="30" t="s">
        <v>121</v>
      </c>
      <c r="E114" s="30"/>
      <c r="F114" s="30" t="s">
        <v>6</v>
      </c>
      <c r="G114" s="38">
        <v>10</v>
      </c>
      <c r="H114" s="38">
        <v>3</v>
      </c>
      <c r="I114" s="38">
        <v>40</v>
      </c>
      <c r="J114" s="38">
        <v>65</v>
      </c>
      <c r="K114" s="142">
        <v>10</v>
      </c>
      <c r="L114" s="38">
        <v>100</v>
      </c>
      <c r="M114" s="38">
        <v>80</v>
      </c>
      <c r="N114" s="38">
        <v>2.4000000000000004</v>
      </c>
      <c r="O114" s="38">
        <v>0</v>
      </c>
      <c r="P114" s="141" t="s">
        <v>65</v>
      </c>
      <c r="Q114" s="38">
        <v>3</v>
      </c>
      <c r="R114" s="38"/>
      <c r="S114" s="38"/>
      <c r="T114" s="38"/>
      <c r="U114" s="38"/>
      <c r="V114" s="38"/>
      <c r="W114" s="38"/>
      <c r="X114" s="38"/>
      <c r="Y114" s="30"/>
    </row>
    <row r="115" spans="1:25" s="14" customFormat="1" x14ac:dyDescent="0.35">
      <c r="A115" s="30" t="s">
        <v>119</v>
      </c>
      <c r="B115" s="30" t="s">
        <v>120</v>
      </c>
      <c r="C115" s="138" t="s">
        <v>124</v>
      </c>
      <c r="D115" s="30" t="s">
        <v>121</v>
      </c>
      <c r="E115" s="30"/>
      <c r="F115" s="30" t="s">
        <v>6</v>
      </c>
      <c r="G115" s="38">
        <v>10</v>
      </c>
      <c r="H115" s="38">
        <v>3</v>
      </c>
      <c r="I115" s="38">
        <v>40</v>
      </c>
      <c r="J115" s="38">
        <v>65</v>
      </c>
      <c r="K115" s="142">
        <v>10</v>
      </c>
      <c r="L115" s="38">
        <v>100</v>
      </c>
      <c r="M115" s="38">
        <v>80</v>
      </c>
      <c r="N115" s="38">
        <v>2.4000000000000004</v>
      </c>
      <c r="O115" s="38">
        <v>0</v>
      </c>
      <c r="P115" s="141" t="s">
        <v>65</v>
      </c>
      <c r="Q115" s="38">
        <v>3</v>
      </c>
      <c r="R115" s="38"/>
      <c r="S115" s="38"/>
      <c r="T115" s="38"/>
      <c r="U115" s="38"/>
      <c r="V115" s="38"/>
      <c r="W115" s="38"/>
      <c r="X115" s="38"/>
      <c r="Y115" s="30"/>
    </row>
    <row r="116" spans="1:25" s="14" customFormat="1" x14ac:dyDescent="0.35">
      <c r="A116" s="30" t="s">
        <v>119</v>
      </c>
      <c r="B116" s="30" t="s">
        <v>120</v>
      </c>
      <c r="C116" s="138" t="s">
        <v>124</v>
      </c>
      <c r="D116" s="30" t="s">
        <v>121</v>
      </c>
      <c r="E116" s="30"/>
      <c r="F116" s="30" t="s">
        <v>6</v>
      </c>
      <c r="G116" s="38">
        <v>10</v>
      </c>
      <c r="H116" s="38">
        <v>3</v>
      </c>
      <c r="I116" s="38">
        <v>40</v>
      </c>
      <c r="J116" s="38">
        <v>65</v>
      </c>
      <c r="K116" s="142">
        <v>10</v>
      </c>
      <c r="L116" s="38">
        <v>100</v>
      </c>
      <c r="M116" s="38">
        <v>80</v>
      </c>
      <c r="N116" s="38">
        <v>2.4000000000000004</v>
      </c>
      <c r="O116" s="38">
        <v>0</v>
      </c>
      <c r="P116" s="141" t="s">
        <v>65</v>
      </c>
      <c r="Q116" s="38">
        <v>3</v>
      </c>
      <c r="R116" s="38"/>
      <c r="S116" s="38"/>
      <c r="T116" s="38"/>
      <c r="U116" s="38"/>
      <c r="V116" s="38"/>
      <c r="W116" s="38"/>
      <c r="X116" s="38"/>
      <c r="Y116" s="30"/>
    </row>
    <row r="117" spans="1:25" s="14" customFormat="1" x14ac:dyDescent="0.35">
      <c r="A117" s="30" t="s">
        <v>119</v>
      </c>
      <c r="B117" s="30" t="s">
        <v>120</v>
      </c>
      <c r="C117" s="138" t="s">
        <v>124</v>
      </c>
      <c r="D117" s="30" t="s">
        <v>121</v>
      </c>
      <c r="E117" s="30"/>
      <c r="F117" s="30" t="s">
        <v>6</v>
      </c>
      <c r="G117" s="38">
        <v>10</v>
      </c>
      <c r="H117" s="38">
        <v>3</v>
      </c>
      <c r="I117" s="38">
        <v>40</v>
      </c>
      <c r="J117" s="38">
        <v>65</v>
      </c>
      <c r="K117" s="142">
        <v>10</v>
      </c>
      <c r="L117" s="38">
        <v>100</v>
      </c>
      <c r="M117" s="38">
        <v>80</v>
      </c>
      <c r="N117" s="38">
        <v>2.4000000000000004</v>
      </c>
      <c r="O117" s="38">
        <v>0</v>
      </c>
      <c r="P117" s="141" t="s">
        <v>65</v>
      </c>
      <c r="Q117" s="38">
        <v>3</v>
      </c>
      <c r="R117" s="38"/>
      <c r="S117" s="38"/>
      <c r="T117" s="38"/>
      <c r="U117" s="38"/>
      <c r="V117" s="38"/>
      <c r="W117" s="38"/>
      <c r="X117" s="38"/>
      <c r="Y117" s="30"/>
    </row>
    <row r="118" spans="1:25" s="14" customFormat="1" x14ac:dyDescent="0.35">
      <c r="A118" s="30" t="s">
        <v>119</v>
      </c>
      <c r="B118" s="30" t="s">
        <v>120</v>
      </c>
      <c r="C118" s="138" t="s">
        <v>124</v>
      </c>
      <c r="D118" s="30" t="s">
        <v>121</v>
      </c>
      <c r="E118" s="30"/>
      <c r="F118" s="30" t="s">
        <v>6</v>
      </c>
      <c r="G118" s="38">
        <v>10</v>
      </c>
      <c r="H118" s="38">
        <v>3</v>
      </c>
      <c r="I118" s="38">
        <v>40</v>
      </c>
      <c r="J118" s="38">
        <v>65</v>
      </c>
      <c r="K118" s="142">
        <v>10</v>
      </c>
      <c r="L118" s="38">
        <v>100</v>
      </c>
      <c r="M118" s="38">
        <v>80</v>
      </c>
      <c r="N118" s="38">
        <v>2.4000000000000004</v>
      </c>
      <c r="O118" s="38">
        <v>0</v>
      </c>
      <c r="P118" s="141" t="s">
        <v>65</v>
      </c>
      <c r="Q118" s="38">
        <v>3</v>
      </c>
      <c r="R118" s="38"/>
      <c r="S118" s="38"/>
      <c r="T118" s="38"/>
      <c r="U118" s="38"/>
      <c r="V118" s="38"/>
      <c r="W118" s="38"/>
      <c r="X118" s="38"/>
      <c r="Y118" s="30"/>
    </row>
    <row r="119" spans="1:25" s="14" customFormat="1" x14ac:dyDescent="0.35">
      <c r="A119" s="30" t="s">
        <v>119</v>
      </c>
      <c r="B119" s="30" t="s">
        <v>120</v>
      </c>
      <c r="C119" s="138" t="s">
        <v>124</v>
      </c>
      <c r="D119" s="30" t="s">
        <v>121</v>
      </c>
      <c r="E119" s="30"/>
      <c r="F119" s="30" t="s">
        <v>6</v>
      </c>
      <c r="G119" s="38">
        <v>10</v>
      </c>
      <c r="H119" s="38">
        <v>3</v>
      </c>
      <c r="I119" s="38">
        <v>40</v>
      </c>
      <c r="J119" s="38">
        <v>65</v>
      </c>
      <c r="K119" s="142">
        <v>10</v>
      </c>
      <c r="L119" s="38">
        <v>100</v>
      </c>
      <c r="M119" s="38">
        <v>80</v>
      </c>
      <c r="N119" s="38">
        <v>2.4000000000000004</v>
      </c>
      <c r="O119" s="38">
        <v>0</v>
      </c>
      <c r="P119" s="141" t="s">
        <v>65</v>
      </c>
      <c r="Q119" s="38">
        <v>3</v>
      </c>
      <c r="R119" s="38"/>
      <c r="S119" s="38"/>
      <c r="T119" s="38"/>
      <c r="U119" s="38"/>
      <c r="V119" s="38"/>
      <c r="W119" s="38"/>
      <c r="X119" s="38"/>
      <c r="Y119" s="30"/>
    </row>
    <row r="120" spans="1:25" s="14" customFormat="1" x14ac:dyDescent="0.35">
      <c r="A120" s="30" t="s">
        <v>119</v>
      </c>
      <c r="B120" s="30" t="s">
        <v>120</v>
      </c>
      <c r="C120" s="138" t="s">
        <v>124</v>
      </c>
      <c r="D120" s="30" t="s">
        <v>121</v>
      </c>
      <c r="E120" s="30"/>
      <c r="F120" s="30" t="s">
        <v>6</v>
      </c>
      <c r="G120" s="38">
        <v>10</v>
      </c>
      <c r="H120" s="38">
        <v>3</v>
      </c>
      <c r="I120" s="38">
        <v>40</v>
      </c>
      <c r="J120" s="38">
        <v>65</v>
      </c>
      <c r="K120" s="142">
        <v>10</v>
      </c>
      <c r="L120" s="38">
        <v>100</v>
      </c>
      <c r="M120" s="38">
        <v>80</v>
      </c>
      <c r="N120" s="38">
        <v>2.4000000000000004</v>
      </c>
      <c r="O120" s="38">
        <v>0</v>
      </c>
      <c r="P120" s="141" t="s">
        <v>65</v>
      </c>
      <c r="Q120" s="38">
        <v>3</v>
      </c>
      <c r="R120" s="38"/>
      <c r="S120" s="38"/>
      <c r="T120" s="38"/>
      <c r="U120" s="38"/>
      <c r="V120" s="38"/>
      <c r="W120" s="38"/>
      <c r="X120" s="38"/>
      <c r="Y120" s="30"/>
    </row>
    <row r="121" spans="1:25" s="14" customFormat="1" x14ac:dyDescent="0.35">
      <c r="A121" s="30" t="s">
        <v>119</v>
      </c>
      <c r="B121" s="30" t="s">
        <v>120</v>
      </c>
      <c r="C121" s="138" t="s">
        <v>124</v>
      </c>
      <c r="D121" s="30" t="s">
        <v>121</v>
      </c>
      <c r="E121" s="30"/>
      <c r="F121" s="30" t="s">
        <v>6</v>
      </c>
      <c r="G121" s="38">
        <v>10</v>
      </c>
      <c r="H121" s="38">
        <v>3</v>
      </c>
      <c r="I121" s="38">
        <v>40</v>
      </c>
      <c r="J121" s="38">
        <v>65</v>
      </c>
      <c r="K121" s="142">
        <v>10</v>
      </c>
      <c r="L121" s="38">
        <v>100</v>
      </c>
      <c r="M121" s="38">
        <v>80</v>
      </c>
      <c r="N121" s="38">
        <v>2.4000000000000004</v>
      </c>
      <c r="O121" s="38">
        <v>0</v>
      </c>
      <c r="P121" s="141" t="s">
        <v>65</v>
      </c>
      <c r="Q121" s="38">
        <v>3</v>
      </c>
      <c r="R121" s="38"/>
      <c r="S121" s="38"/>
      <c r="T121" s="38"/>
      <c r="U121" s="38"/>
      <c r="V121" s="38"/>
      <c r="W121" s="38"/>
      <c r="X121" s="38"/>
      <c r="Y121" s="30"/>
    </row>
    <row r="122" spans="1:25" s="14" customFormat="1" x14ac:dyDescent="0.35">
      <c r="A122" s="30" t="s">
        <v>119</v>
      </c>
      <c r="B122" s="30" t="s">
        <v>120</v>
      </c>
      <c r="C122" s="138" t="s">
        <v>124</v>
      </c>
      <c r="D122" s="30" t="s">
        <v>121</v>
      </c>
      <c r="E122" s="30"/>
      <c r="F122" s="30" t="s">
        <v>6</v>
      </c>
      <c r="G122" s="38">
        <v>10</v>
      </c>
      <c r="H122" s="38">
        <v>3</v>
      </c>
      <c r="I122" s="38">
        <v>40</v>
      </c>
      <c r="J122" s="38">
        <v>65</v>
      </c>
      <c r="K122" s="142">
        <v>10</v>
      </c>
      <c r="L122" s="38">
        <v>100</v>
      </c>
      <c r="M122" s="38">
        <v>80</v>
      </c>
      <c r="N122" s="38">
        <v>2.4000000000000004</v>
      </c>
      <c r="O122" s="38">
        <v>0</v>
      </c>
      <c r="P122" s="141" t="s">
        <v>65</v>
      </c>
      <c r="Q122" s="38">
        <v>3</v>
      </c>
      <c r="R122" s="38"/>
      <c r="S122" s="38"/>
      <c r="T122" s="38"/>
      <c r="U122" s="38"/>
      <c r="V122" s="38"/>
      <c r="W122" s="38"/>
      <c r="X122" s="38"/>
      <c r="Y122" s="30"/>
    </row>
    <row r="123" spans="1:25" s="14" customFormat="1" x14ac:dyDescent="0.35">
      <c r="A123" s="30" t="s">
        <v>119</v>
      </c>
      <c r="B123" s="30" t="s">
        <v>120</v>
      </c>
      <c r="C123" s="138" t="s">
        <v>124</v>
      </c>
      <c r="D123" s="30" t="s">
        <v>121</v>
      </c>
      <c r="E123" s="30"/>
      <c r="F123" s="30" t="s">
        <v>6</v>
      </c>
      <c r="G123" s="38">
        <v>10</v>
      </c>
      <c r="H123" s="38">
        <v>3</v>
      </c>
      <c r="I123" s="38">
        <v>40</v>
      </c>
      <c r="J123" s="38">
        <v>65</v>
      </c>
      <c r="K123" s="142">
        <v>10</v>
      </c>
      <c r="L123" s="38">
        <v>100</v>
      </c>
      <c r="M123" s="38">
        <v>80</v>
      </c>
      <c r="N123" s="38">
        <v>2.4000000000000004</v>
      </c>
      <c r="O123" s="38">
        <v>0</v>
      </c>
      <c r="P123" s="141" t="s">
        <v>65</v>
      </c>
      <c r="Q123" s="38">
        <v>3</v>
      </c>
      <c r="R123" s="38"/>
      <c r="S123" s="38"/>
      <c r="T123" s="38"/>
      <c r="U123" s="38"/>
      <c r="V123" s="38"/>
      <c r="W123" s="38"/>
      <c r="X123" s="38"/>
      <c r="Y123" s="30"/>
    </row>
    <row r="124" spans="1:25" s="14" customFormat="1" x14ac:dyDescent="0.35">
      <c r="A124" s="30" t="s">
        <v>119</v>
      </c>
      <c r="B124" s="30" t="s">
        <v>120</v>
      </c>
      <c r="C124" s="138" t="s">
        <v>124</v>
      </c>
      <c r="D124" s="30" t="s">
        <v>121</v>
      </c>
      <c r="E124" s="30"/>
      <c r="F124" s="30" t="s">
        <v>6</v>
      </c>
      <c r="G124" s="38">
        <v>10</v>
      </c>
      <c r="H124" s="38">
        <v>3</v>
      </c>
      <c r="I124" s="38">
        <v>40</v>
      </c>
      <c r="J124" s="38">
        <v>65</v>
      </c>
      <c r="K124" s="142">
        <v>10</v>
      </c>
      <c r="L124" s="38">
        <v>100</v>
      </c>
      <c r="M124" s="38">
        <v>80</v>
      </c>
      <c r="N124" s="38">
        <v>2.4000000000000004</v>
      </c>
      <c r="O124" s="38">
        <v>0</v>
      </c>
      <c r="P124" s="141" t="s">
        <v>65</v>
      </c>
      <c r="Q124" s="38">
        <v>3</v>
      </c>
      <c r="R124" s="38"/>
      <c r="S124" s="38"/>
      <c r="T124" s="38"/>
      <c r="U124" s="38"/>
      <c r="V124" s="38"/>
      <c r="W124" s="38"/>
      <c r="X124" s="38"/>
      <c r="Y124" s="30"/>
    </row>
    <row r="125" spans="1:25" s="14" customFormat="1" x14ac:dyDescent="0.35">
      <c r="A125" s="30" t="s">
        <v>119</v>
      </c>
      <c r="B125" s="30" t="s">
        <v>120</v>
      </c>
      <c r="C125" s="138" t="s">
        <v>124</v>
      </c>
      <c r="D125" s="30" t="s">
        <v>121</v>
      </c>
      <c r="E125" s="30"/>
      <c r="F125" s="30" t="s">
        <v>6</v>
      </c>
      <c r="G125" s="38">
        <v>10</v>
      </c>
      <c r="H125" s="38">
        <v>3</v>
      </c>
      <c r="I125" s="38">
        <v>40</v>
      </c>
      <c r="J125" s="38">
        <v>65</v>
      </c>
      <c r="K125" s="142">
        <v>10</v>
      </c>
      <c r="L125" s="38">
        <v>100</v>
      </c>
      <c r="M125" s="38">
        <v>80</v>
      </c>
      <c r="N125" s="38">
        <v>2.4000000000000004</v>
      </c>
      <c r="O125" s="38">
        <v>0</v>
      </c>
      <c r="P125" s="141" t="s">
        <v>65</v>
      </c>
      <c r="Q125" s="38">
        <v>3</v>
      </c>
      <c r="R125" s="38"/>
      <c r="S125" s="38"/>
      <c r="T125" s="38"/>
      <c r="U125" s="38"/>
      <c r="V125" s="38"/>
      <c r="W125" s="38"/>
      <c r="X125" s="38"/>
      <c r="Y125" s="30"/>
    </row>
    <row r="126" spans="1:25" s="14" customFormat="1" x14ac:dyDescent="0.35">
      <c r="A126" s="30" t="s">
        <v>119</v>
      </c>
      <c r="B126" s="30" t="s">
        <v>120</v>
      </c>
      <c r="C126" s="138" t="s">
        <v>124</v>
      </c>
      <c r="D126" s="30" t="s">
        <v>121</v>
      </c>
      <c r="E126" s="30"/>
      <c r="F126" s="30" t="s">
        <v>6</v>
      </c>
      <c r="G126" s="38">
        <v>10</v>
      </c>
      <c r="H126" s="38">
        <v>3</v>
      </c>
      <c r="I126" s="38">
        <v>40</v>
      </c>
      <c r="J126" s="38">
        <v>65</v>
      </c>
      <c r="K126" s="142">
        <v>10</v>
      </c>
      <c r="L126" s="38">
        <v>100</v>
      </c>
      <c r="M126" s="38">
        <v>80</v>
      </c>
      <c r="N126" s="38">
        <v>2.4000000000000004</v>
      </c>
      <c r="O126" s="38">
        <v>0</v>
      </c>
      <c r="P126" s="141" t="s">
        <v>65</v>
      </c>
      <c r="Q126" s="38">
        <v>3</v>
      </c>
      <c r="R126" s="38"/>
      <c r="S126" s="38"/>
      <c r="T126" s="38"/>
      <c r="U126" s="38"/>
      <c r="V126" s="38"/>
      <c r="W126" s="38"/>
      <c r="X126" s="38"/>
      <c r="Y126" s="30"/>
    </row>
    <row r="127" spans="1:25" s="14" customFormat="1" x14ac:dyDescent="0.35">
      <c r="A127" s="30" t="s">
        <v>119</v>
      </c>
      <c r="B127" s="30" t="s">
        <v>120</v>
      </c>
      <c r="C127" s="138" t="s">
        <v>124</v>
      </c>
      <c r="D127" s="30" t="s">
        <v>121</v>
      </c>
      <c r="E127" s="30"/>
      <c r="F127" s="30" t="s">
        <v>6</v>
      </c>
      <c r="G127" s="38">
        <v>10</v>
      </c>
      <c r="H127" s="38">
        <v>3</v>
      </c>
      <c r="I127" s="38">
        <v>40</v>
      </c>
      <c r="J127" s="38">
        <v>65</v>
      </c>
      <c r="K127" s="142">
        <v>10</v>
      </c>
      <c r="L127" s="38">
        <v>100</v>
      </c>
      <c r="M127" s="38">
        <v>80</v>
      </c>
      <c r="N127" s="38">
        <v>2.4000000000000004</v>
      </c>
      <c r="O127" s="38">
        <v>0</v>
      </c>
      <c r="P127" s="141" t="s">
        <v>65</v>
      </c>
      <c r="Q127" s="38">
        <v>3</v>
      </c>
      <c r="R127" s="38"/>
      <c r="S127" s="38"/>
      <c r="T127" s="38"/>
      <c r="U127" s="38"/>
      <c r="V127" s="38"/>
      <c r="W127" s="38"/>
      <c r="X127" s="38"/>
      <c r="Y127" s="30"/>
    </row>
    <row r="128" spans="1:25" s="14" customFormat="1" x14ac:dyDescent="0.35">
      <c r="A128" s="30" t="s">
        <v>119</v>
      </c>
      <c r="B128" s="30" t="s">
        <v>120</v>
      </c>
      <c r="C128" s="138" t="s">
        <v>124</v>
      </c>
      <c r="D128" s="30" t="s">
        <v>121</v>
      </c>
      <c r="E128" s="30"/>
      <c r="F128" s="30" t="s">
        <v>6</v>
      </c>
      <c r="G128" s="38">
        <v>10</v>
      </c>
      <c r="H128" s="38">
        <v>3</v>
      </c>
      <c r="I128" s="38">
        <v>40</v>
      </c>
      <c r="J128" s="38">
        <v>65</v>
      </c>
      <c r="K128" s="142">
        <v>10</v>
      </c>
      <c r="L128" s="38">
        <v>100</v>
      </c>
      <c r="M128" s="38">
        <v>80</v>
      </c>
      <c r="N128" s="38">
        <v>2.4000000000000004</v>
      </c>
      <c r="O128" s="38">
        <v>0</v>
      </c>
      <c r="P128" s="141" t="s">
        <v>65</v>
      </c>
      <c r="Q128" s="38">
        <v>3</v>
      </c>
      <c r="R128" s="38"/>
      <c r="S128" s="38"/>
      <c r="T128" s="38"/>
      <c r="U128" s="38"/>
      <c r="V128" s="38"/>
      <c r="W128" s="38"/>
      <c r="X128" s="38"/>
      <c r="Y128" s="30"/>
    </row>
    <row r="129" spans="1:25" s="14" customFormat="1" x14ac:dyDescent="0.35">
      <c r="A129" s="30" t="s">
        <v>119</v>
      </c>
      <c r="B129" s="30" t="s">
        <v>120</v>
      </c>
      <c r="C129" s="138" t="s">
        <v>124</v>
      </c>
      <c r="D129" s="30" t="s">
        <v>121</v>
      </c>
      <c r="E129" s="30"/>
      <c r="F129" s="30" t="s">
        <v>6</v>
      </c>
      <c r="G129" s="38">
        <v>10</v>
      </c>
      <c r="H129" s="38">
        <v>3</v>
      </c>
      <c r="I129" s="38">
        <v>40</v>
      </c>
      <c r="J129" s="38">
        <v>65</v>
      </c>
      <c r="K129" s="142">
        <v>10</v>
      </c>
      <c r="L129" s="38">
        <v>100</v>
      </c>
      <c r="M129" s="38">
        <v>80</v>
      </c>
      <c r="N129" s="38">
        <v>2.4000000000000004</v>
      </c>
      <c r="O129" s="38">
        <v>0</v>
      </c>
      <c r="P129" s="141" t="s">
        <v>65</v>
      </c>
      <c r="Q129" s="38">
        <v>3</v>
      </c>
      <c r="R129" s="38"/>
      <c r="S129" s="38"/>
      <c r="T129" s="38"/>
      <c r="U129" s="38"/>
      <c r="V129" s="38"/>
      <c r="W129" s="38"/>
      <c r="X129" s="38"/>
      <c r="Y129" s="30"/>
    </row>
    <row r="130" spans="1:25" s="14" customFormat="1" x14ac:dyDescent="0.35">
      <c r="A130" s="30" t="s">
        <v>119</v>
      </c>
      <c r="B130" s="30" t="s">
        <v>120</v>
      </c>
      <c r="C130" s="138" t="s">
        <v>124</v>
      </c>
      <c r="D130" s="30" t="s">
        <v>121</v>
      </c>
      <c r="E130" s="30"/>
      <c r="F130" s="30" t="s">
        <v>6</v>
      </c>
      <c r="G130" s="38">
        <v>10</v>
      </c>
      <c r="H130" s="38">
        <v>3</v>
      </c>
      <c r="I130" s="38">
        <v>40</v>
      </c>
      <c r="J130" s="38">
        <v>65</v>
      </c>
      <c r="K130" s="142">
        <v>10</v>
      </c>
      <c r="L130" s="38">
        <v>100</v>
      </c>
      <c r="M130" s="38">
        <v>80</v>
      </c>
      <c r="N130" s="38">
        <v>2.4000000000000004</v>
      </c>
      <c r="O130" s="38">
        <v>0</v>
      </c>
      <c r="P130" s="141" t="s">
        <v>65</v>
      </c>
      <c r="Q130" s="38">
        <v>3</v>
      </c>
      <c r="R130" s="38"/>
      <c r="S130" s="38"/>
      <c r="T130" s="38"/>
      <c r="U130" s="38"/>
      <c r="V130" s="38"/>
      <c r="W130" s="38"/>
      <c r="X130" s="38"/>
      <c r="Y130" s="30"/>
    </row>
    <row r="131" spans="1:25" s="14" customFormat="1" x14ac:dyDescent="0.35">
      <c r="A131" s="30" t="s">
        <v>119</v>
      </c>
      <c r="B131" s="30" t="s">
        <v>120</v>
      </c>
      <c r="C131" s="138" t="s">
        <v>124</v>
      </c>
      <c r="D131" s="30" t="s">
        <v>121</v>
      </c>
      <c r="E131" s="30"/>
      <c r="F131" s="30" t="s">
        <v>6</v>
      </c>
      <c r="G131" s="38">
        <v>10</v>
      </c>
      <c r="H131" s="38">
        <v>3</v>
      </c>
      <c r="I131" s="38">
        <v>40</v>
      </c>
      <c r="J131" s="38">
        <v>65</v>
      </c>
      <c r="K131" s="142">
        <v>10</v>
      </c>
      <c r="L131" s="38">
        <v>100</v>
      </c>
      <c r="M131" s="38">
        <v>80</v>
      </c>
      <c r="N131" s="38">
        <v>2.4000000000000004</v>
      </c>
      <c r="O131" s="38">
        <v>0</v>
      </c>
      <c r="P131" s="141" t="s">
        <v>65</v>
      </c>
      <c r="Q131" s="38">
        <v>3</v>
      </c>
      <c r="R131" s="38"/>
      <c r="S131" s="38"/>
      <c r="T131" s="38"/>
      <c r="U131" s="38"/>
      <c r="V131" s="38"/>
      <c r="W131" s="38"/>
      <c r="X131" s="38"/>
      <c r="Y131" s="30"/>
    </row>
    <row r="132" spans="1:25" s="14" customFormat="1" x14ac:dyDescent="0.35">
      <c r="A132" s="30" t="s">
        <v>119</v>
      </c>
      <c r="B132" s="30" t="s">
        <v>120</v>
      </c>
      <c r="C132" s="138" t="s">
        <v>124</v>
      </c>
      <c r="D132" s="30" t="s">
        <v>121</v>
      </c>
      <c r="E132" s="30"/>
      <c r="F132" s="30" t="s">
        <v>6</v>
      </c>
      <c r="G132" s="38">
        <v>10</v>
      </c>
      <c r="H132" s="38">
        <v>3</v>
      </c>
      <c r="I132" s="38">
        <v>40</v>
      </c>
      <c r="J132" s="38">
        <v>65</v>
      </c>
      <c r="K132" s="142">
        <v>10</v>
      </c>
      <c r="L132" s="38">
        <v>100</v>
      </c>
      <c r="M132" s="38">
        <v>80</v>
      </c>
      <c r="N132" s="38">
        <v>2.4000000000000004</v>
      </c>
      <c r="O132" s="38">
        <v>0</v>
      </c>
      <c r="P132" s="141" t="s">
        <v>65</v>
      </c>
      <c r="Q132" s="38">
        <v>3</v>
      </c>
      <c r="R132" s="38"/>
      <c r="S132" s="38"/>
      <c r="T132" s="38"/>
      <c r="U132" s="38"/>
      <c r="V132" s="38"/>
      <c r="W132" s="38"/>
      <c r="X132" s="38"/>
      <c r="Y132" s="30"/>
    </row>
    <row r="133" spans="1:25" s="14" customFormat="1" x14ac:dyDescent="0.35">
      <c r="A133" s="30" t="s">
        <v>119</v>
      </c>
      <c r="B133" s="30" t="s">
        <v>120</v>
      </c>
      <c r="C133" s="138" t="s">
        <v>124</v>
      </c>
      <c r="D133" s="30" t="s">
        <v>121</v>
      </c>
      <c r="E133" s="30"/>
      <c r="F133" s="30" t="s">
        <v>6</v>
      </c>
      <c r="G133" s="38">
        <v>10</v>
      </c>
      <c r="H133" s="38">
        <v>3</v>
      </c>
      <c r="I133" s="38">
        <v>40</v>
      </c>
      <c r="J133" s="38">
        <v>65</v>
      </c>
      <c r="K133" s="142">
        <v>10</v>
      </c>
      <c r="L133" s="38">
        <v>100</v>
      </c>
      <c r="M133" s="38">
        <v>80</v>
      </c>
      <c r="N133" s="38">
        <v>2.4000000000000004</v>
      </c>
      <c r="O133" s="38">
        <v>0</v>
      </c>
      <c r="P133" s="141" t="s">
        <v>65</v>
      </c>
      <c r="Q133" s="38">
        <v>3</v>
      </c>
      <c r="R133" s="38"/>
      <c r="S133" s="38"/>
      <c r="T133" s="38"/>
      <c r="U133" s="38"/>
      <c r="V133" s="38"/>
      <c r="W133" s="38"/>
      <c r="X133" s="38"/>
      <c r="Y133" s="30"/>
    </row>
    <row r="134" spans="1:25" s="14" customFormat="1" x14ac:dyDescent="0.35">
      <c r="A134" s="30" t="s">
        <v>119</v>
      </c>
      <c r="B134" s="30" t="s">
        <v>120</v>
      </c>
      <c r="C134" s="138" t="s">
        <v>124</v>
      </c>
      <c r="D134" s="30" t="s">
        <v>121</v>
      </c>
      <c r="E134" s="30"/>
      <c r="F134" s="30" t="s">
        <v>6</v>
      </c>
      <c r="G134" s="38">
        <v>10</v>
      </c>
      <c r="H134" s="38">
        <v>3</v>
      </c>
      <c r="I134" s="38">
        <v>40</v>
      </c>
      <c r="J134" s="38">
        <v>65</v>
      </c>
      <c r="K134" s="142">
        <v>10</v>
      </c>
      <c r="L134" s="38">
        <v>100</v>
      </c>
      <c r="M134" s="38">
        <v>80</v>
      </c>
      <c r="N134" s="38">
        <v>2.4000000000000004</v>
      </c>
      <c r="O134" s="38">
        <v>0</v>
      </c>
      <c r="P134" s="141" t="s">
        <v>65</v>
      </c>
      <c r="Q134" s="38">
        <v>3</v>
      </c>
      <c r="R134" s="38"/>
      <c r="S134" s="38"/>
      <c r="T134" s="38"/>
      <c r="U134" s="38"/>
      <c r="V134" s="38"/>
      <c r="W134" s="38"/>
      <c r="X134" s="38"/>
      <c r="Y134" s="30"/>
    </row>
    <row r="135" spans="1:25" s="14" customFormat="1" x14ac:dyDescent="0.35">
      <c r="A135" s="30" t="s">
        <v>119</v>
      </c>
      <c r="B135" s="30" t="s">
        <v>120</v>
      </c>
      <c r="C135" s="138" t="s">
        <v>124</v>
      </c>
      <c r="D135" s="30" t="s">
        <v>121</v>
      </c>
      <c r="E135" s="30"/>
      <c r="F135" s="30" t="s">
        <v>6</v>
      </c>
      <c r="G135" s="38">
        <v>10</v>
      </c>
      <c r="H135" s="38">
        <v>3</v>
      </c>
      <c r="I135" s="38">
        <v>40</v>
      </c>
      <c r="J135" s="38">
        <v>65</v>
      </c>
      <c r="K135" s="142">
        <v>10</v>
      </c>
      <c r="L135" s="38">
        <v>100</v>
      </c>
      <c r="M135" s="38">
        <v>80</v>
      </c>
      <c r="N135" s="38">
        <v>2.4000000000000004</v>
      </c>
      <c r="O135" s="38">
        <v>0</v>
      </c>
      <c r="P135" s="141" t="s">
        <v>65</v>
      </c>
      <c r="Q135" s="38">
        <v>3</v>
      </c>
      <c r="R135" s="38"/>
      <c r="S135" s="38"/>
      <c r="T135" s="38"/>
      <c r="U135" s="38"/>
      <c r="V135" s="38"/>
      <c r="W135" s="38"/>
      <c r="X135" s="38"/>
      <c r="Y135" s="30"/>
    </row>
    <row r="136" spans="1:25" s="14" customFormat="1" x14ac:dyDescent="0.35">
      <c r="A136" s="30" t="s">
        <v>119</v>
      </c>
      <c r="B136" s="30" t="s">
        <v>120</v>
      </c>
      <c r="C136" s="138" t="s">
        <v>124</v>
      </c>
      <c r="D136" s="30" t="s">
        <v>121</v>
      </c>
      <c r="E136" s="30"/>
      <c r="F136" s="30" t="s">
        <v>6</v>
      </c>
      <c r="G136" s="38">
        <v>10</v>
      </c>
      <c r="H136" s="38">
        <v>3</v>
      </c>
      <c r="I136" s="38">
        <v>40</v>
      </c>
      <c r="J136" s="38">
        <v>65</v>
      </c>
      <c r="K136" s="142">
        <v>10</v>
      </c>
      <c r="L136" s="38">
        <v>100</v>
      </c>
      <c r="M136" s="38">
        <v>80</v>
      </c>
      <c r="N136" s="38">
        <v>2.4000000000000004</v>
      </c>
      <c r="O136" s="38">
        <v>0</v>
      </c>
      <c r="P136" s="141" t="s">
        <v>65</v>
      </c>
      <c r="Q136" s="38">
        <v>3</v>
      </c>
      <c r="R136" s="38"/>
      <c r="S136" s="38"/>
      <c r="T136" s="38"/>
      <c r="U136" s="38"/>
      <c r="V136" s="38"/>
      <c r="W136" s="38"/>
      <c r="X136" s="38"/>
      <c r="Y136" s="30"/>
    </row>
    <row r="137" spans="1:25" s="14" customFormat="1" x14ac:dyDescent="0.35">
      <c r="A137" s="30" t="s">
        <v>119</v>
      </c>
      <c r="B137" s="30" t="s">
        <v>120</v>
      </c>
      <c r="C137" s="138" t="s">
        <v>124</v>
      </c>
      <c r="D137" s="30" t="s">
        <v>121</v>
      </c>
      <c r="E137" s="30"/>
      <c r="F137" s="30" t="s">
        <v>6</v>
      </c>
      <c r="G137" s="38">
        <v>12.5</v>
      </c>
      <c r="H137" s="38">
        <v>3.75</v>
      </c>
      <c r="I137" s="38">
        <v>40</v>
      </c>
      <c r="J137" s="38">
        <v>65</v>
      </c>
      <c r="K137" s="142">
        <v>22</v>
      </c>
      <c r="L137" s="38">
        <v>150</v>
      </c>
      <c r="M137" s="38">
        <v>100</v>
      </c>
      <c r="N137" s="38">
        <v>2.1333333333333333</v>
      </c>
      <c r="O137" s="38">
        <v>0</v>
      </c>
      <c r="P137" s="141" t="s">
        <v>65</v>
      </c>
      <c r="Q137" s="38">
        <v>3.75</v>
      </c>
      <c r="R137" s="38"/>
      <c r="S137" s="38"/>
      <c r="T137" s="38"/>
      <c r="U137" s="38"/>
      <c r="V137" s="38"/>
      <c r="W137" s="38"/>
      <c r="X137" s="38"/>
      <c r="Y137" s="30"/>
    </row>
    <row r="138" spans="1:25" s="14" customFormat="1" x14ac:dyDescent="0.35">
      <c r="A138" s="30" t="s">
        <v>119</v>
      </c>
      <c r="B138" s="30" t="s">
        <v>120</v>
      </c>
      <c r="C138" s="138" t="s">
        <v>124</v>
      </c>
      <c r="D138" s="30" t="s">
        <v>121</v>
      </c>
      <c r="E138" s="30"/>
      <c r="F138" s="30" t="s">
        <v>6</v>
      </c>
      <c r="G138" s="38">
        <v>12.5</v>
      </c>
      <c r="H138" s="38">
        <v>3.75</v>
      </c>
      <c r="I138" s="38">
        <v>40</v>
      </c>
      <c r="J138" s="38">
        <v>65</v>
      </c>
      <c r="K138" s="142">
        <v>22</v>
      </c>
      <c r="L138" s="38">
        <v>150</v>
      </c>
      <c r="M138" s="38">
        <v>100</v>
      </c>
      <c r="N138" s="38">
        <v>2.1333333333333333</v>
      </c>
      <c r="O138" s="38">
        <v>0</v>
      </c>
      <c r="P138" s="141" t="s">
        <v>65</v>
      </c>
      <c r="Q138" s="38">
        <v>3.75</v>
      </c>
      <c r="R138" s="38"/>
      <c r="S138" s="38"/>
      <c r="T138" s="38"/>
      <c r="U138" s="38"/>
      <c r="V138" s="38"/>
      <c r="W138" s="38"/>
      <c r="X138" s="38"/>
      <c r="Y138" s="30"/>
    </row>
    <row r="139" spans="1:25" s="14" customFormat="1" x14ac:dyDescent="0.35">
      <c r="A139" s="30" t="s">
        <v>119</v>
      </c>
      <c r="B139" s="30" t="s">
        <v>120</v>
      </c>
      <c r="C139" s="138" t="s">
        <v>124</v>
      </c>
      <c r="D139" s="30" t="s">
        <v>121</v>
      </c>
      <c r="E139" s="30"/>
      <c r="F139" s="30" t="s">
        <v>6</v>
      </c>
      <c r="G139" s="38">
        <v>12.5</v>
      </c>
      <c r="H139" s="38">
        <v>3.75</v>
      </c>
      <c r="I139" s="38">
        <v>40</v>
      </c>
      <c r="J139" s="38">
        <v>65</v>
      </c>
      <c r="K139" s="142">
        <v>22</v>
      </c>
      <c r="L139" s="38">
        <v>150</v>
      </c>
      <c r="M139" s="38">
        <v>100</v>
      </c>
      <c r="N139" s="38">
        <v>2.1333333333333333</v>
      </c>
      <c r="O139" s="38">
        <v>0</v>
      </c>
      <c r="P139" s="141" t="s">
        <v>65</v>
      </c>
      <c r="Q139" s="38">
        <v>3.75</v>
      </c>
      <c r="R139" s="38"/>
      <c r="S139" s="38"/>
      <c r="T139" s="38"/>
      <c r="U139" s="38"/>
      <c r="V139" s="38"/>
      <c r="W139" s="38"/>
      <c r="X139" s="38"/>
      <c r="Y139" s="30"/>
    </row>
    <row r="140" spans="1:25" s="14" customFormat="1" x14ac:dyDescent="0.35">
      <c r="A140" s="30" t="s">
        <v>119</v>
      </c>
      <c r="B140" s="30" t="s">
        <v>120</v>
      </c>
      <c r="C140" s="138" t="s">
        <v>124</v>
      </c>
      <c r="D140" s="30" t="s">
        <v>121</v>
      </c>
      <c r="E140" s="30"/>
      <c r="F140" s="30" t="s">
        <v>6</v>
      </c>
      <c r="G140" s="38">
        <v>12.5</v>
      </c>
      <c r="H140" s="38">
        <v>3.75</v>
      </c>
      <c r="I140" s="38">
        <v>40</v>
      </c>
      <c r="J140" s="38">
        <v>65</v>
      </c>
      <c r="K140" s="142">
        <v>22</v>
      </c>
      <c r="L140" s="38">
        <v>150</v>
      </c>
      <c r="M140" s="38">
        <v>100</v>
      </c>
      <c r="N140" s="38">
        <v>2.1333333333333333</v>
      </c>
      <c r="O140" s="38">
        <v>0</v>
      </c>
      <c r="P140" s="141" t="s">
        <v>65</v>
      </c>
      <c r="Q140" s="38">
        <v>3.75</v>
      </c>
      <c r="R140" s="38"/>
      <c r="S140" s="38"/>
      <c r="T140" s="38"/>
      <c r="U140" s="38"/>
      <c r="V140" s="38"/>
      <c r="W140" s="38"/>
      <c r="X140" s="38"/>
      <c r="Y140" s="30"/>
    </row>
    <row r="141" spans="1:25" s="14" customFormat="1" x14ac:dyDescent="0.35">
      <c r="A141" s="30" t="s">
        <v>119</v>
      </c>
      <c r="B141" s="30" t="s">
        <v>120</v>
      </c>
      <c r="C141" s="138" t="s">
        <v>124</v>
      </c>
      <c r="D141" s="30" t="s">
        <v>121</v>
      </c>
      <c r="E141" s="30"/>
      <c r="F141" s="30" t="s">
        <v>6</v>
      </c>
      <c r="G141" s="38">
        <v>12.5</v>
      </c>
      <c r="H141" s="38">
        <v>3.75</v>
      </c>
      <c r="I141" s="38">
        <v>40</v>
      </c>
      <c r="J141" s="38">
        <v>65</v>
      </c>
      <c r="K141" s="142">
        <v>22</v>
      </c>
      <c r="L141" s="38">
        <v>150</v>
      </c>
      <c r="M141" s="38">
        <v>100</v>
      </c>
      <c r="N141" s="38">
        <v>2.1333333333333333</v>
      </c>
      <c r="O141" s="38">
        <v>0</v>
      </c>
      <c r="P141" s="141" t="s">
        <v>65</v>
      </c>
      <c r="Q141" s="38">
        <v>3.75</v>
      </c>
      <c r="R141" s="38"/>
      <c r="S141" s="38"/>
      <c r="T141" s="38"/>
      <c r="U141" s="38"/>
      <c r="V141" s="38"/>
      <c r="W141" s="38"/>
      <c r="X141" s="38"/>
      <c r="Y141" s="30"/>
    </row>
    <row r="142" spans="1:25" s="14" customFormat="1" x14ac:dyDescent="0.35">
      <c r="A142" s="30" t="s">
        <v>119</v>
      </c>
      <c r="B142" s="30" t="s">
        <v>120</v>
      </c>
      <c r="C142" s="138" t="s">
        <v>124</v>
      </c>
      <c r="D142" s="30" t="s">
        <v>121</v>
      </c>
      <c r="E142" s="30"/>
      <c r="F142" s="30" t="s">
        <v>6</v>
      </c>
      <c r="G142" s="38">
        <v>12.5</v>
      </c>
      <c r="H142" s="38">
        <v>3.75</v>
      </c>
      <c r="I142" s="38">
        <v>40</v>
      </c>
      <c r="J142" s="38">
        <v>65</v>
      </c>
      <c r="K142" s="142">
        <v>22</v>
      </c>
      <c r="L142" s="38">
        <v>150</v>
      </c>
      <c r="M142" s="38">
        <v>100</v>
      </c>
      <c r="N142" s="38">
        <v>2.1333333333333333</v>
      </c>
      <c r="O142" s="38">
        <v>0</v>
      </c>
      <c r="P142" s="141" t="s">
        <v>65</v>
      </c>
      <c r="Q142" s="38">
        <v>3.75</v>
      </c>
      <c r="R142" s="38"/>
      <c r="S142" s="38"/>
      <c r="T142" s="38"/>
      <c r="U142" s="38"/>
      <c r="V142" s="38"/>
      <c r="W142" s="38"/>
      <c r="X142" s="38"/>
      <c r="Y142" s="30"/>
    </row>
    <row r="143" spans="1:25" s="14" customFormat="1" x14ac:dyDescent="0.35">
      <c r="A143" s="30" t="s">
        <v>119</v>
      </c>
      <c r="B143" s="30" t="s">
        <v>120</v>
      </c>
      <c r="C143" s="138" t="s">
        <v>124</v>
      </c>
      <c r="D143" s="30" t="s">
        <v>121</v>
      </c>
      <c r="E143" s="30"/>
      <c r="F143" s="30" t="s">
        <v>6</v>
      </c>
      <c r="G143" s="38">
        <v>12.5</v>
      </c>
      <c r="H143" s="38">
        <v>3.75</v>
      </c>
      <c r="I143" s="38">
        <v>40</v>
      </c>
      <c r="J143" s="38">
        <v>65</v>
      </c>
      <c r="K143" s="142">
        <v>22</v>
      </c>
      <c r="L143" s="38">
        <v>150</v>
      </c>
      <c r="M143" s="38">
        <v>100</v>
      </c>
      <c r="N143" s="38">
        <v>2.1333333333333333</v>
      </c>
      <c r="O143" s="38">
        <v>0</v>
      </c>
      <c r="P143" s="141" t="s">
        <v>65</v>
      </c>
      <c r="Q143" s="38">
        <v>3.75</v>
      </c>
      <c r="R143" s="38"/>
      <c r="S143" s="38"/>
      <c r="T143" s="38"/>
      <c r="U143" s="38"/>
      <c r="V143" s="38"/>
      <c r="W143" s="38"/>
      <c r="X143" s="38"/>
      <c r="Y143" s="30"/>
    </row>
    <row r="144" spans="1:25" s="14" customFormat="1" x14ac:dyDescent="0.35">
      <c r="A144" s="30" t="s">
        <v>119</v>
      </c>
      <c r="B144" s="30" t="s">
        <v>120</v>
      </c>
      <c r="C144" s="138" t="s">
        <v>124</v>
      </c>
      <c r="D144" s="30" t="s">
        <v>121</v>
      </c>
      <c r="E144" s="30"/>
      <c r="F144" s="30" t="s">
        <v>6</v>
      </c>
      <c r="G144" s="38">
        <v>12.5</v>
      </c>
      <c r="H144" s="38">
        <v>3.75</v>
      </c>
      <c r="I144" s="38">
        <v>40</v>
      </c>
      <c r="J144" s="38">
        <v>65</v>
      </c>
      <c r="K144" s="142">
        <v>22</v>
      </c>
      <c r="L144" s="38">
        <v>150</v>
      </c>
      <c r="M144" s="38">
        <v>100</v>
      </c>
      <c r="N144" s="38">
        <v>2.1333333333333333</v>
      </c>
      <c r="O144" s="38">
        <v>0</v>
      </c>
      <c r="P144" s="141" t="s">
        <v>65</v>
      </c>
      <c r="Q144" s="38">
        <v>3.75</v>
      </c>
      <c r="R144" s="38"/>
      <c r="S144" s="38"/>
      <c r="T144" s="38"/>
      <c r="U144" s="38"/>
      <c r="V144" s="38"/>
      <c r="W144" s="38"/>
      <c r="X144" s="38"/>
      <c r="Y144" s="30"/>
    </row>
    <row r="145" spans="1:25" s="14" customFormat="1" x14ac:dyDescent="0.35">
      <c r="A145" s="30" t="s">
        <v>119</v>
      </c>
      <c r="B145" s="30" t="s">
        <v>120</v>
      </c>
      <c r="C145" s="138" t="s">
        <v>124</v>
      </c>
      <c r="D145" s="30" t="s">
        <v>121</v>
      </c>
      <c r="E145" s="30"/>
      <c r="F145" s="30" t="s">
        <v>6</v>
      </c>
      <c r="G145" s="38">
        <v>12.5</v>
      </c>
      <c r="H145" s="38">
        <v>3.75</v>
      </c>
      <c r="I145" s="38">
        <v>40</v>
      </c>
      <c r="J145" s="38">
        <v>65</v>
      </c>
      <c r="K145" s="142">
        <v>22</v>
      </c>
      <c r="L145" s="38">
        <v>150</v>
      </c>
      <c r="M145" s="38">
        <v>100</v>
      </c>
      <c r="N145" s="38">
        <v>2.1333333333333333</v>
      </c>
      <c r="O145" s="38">
        <v>0</v>
      </c>
      <c r="P145" s="141" t="s">
        <v>65</v>
      </c>
      <c r="Q145" s="38">
        <v>3.75</v>
      </c>
      <c r="R145" s="38"/>
      <c r="S145" s="38"/>
      <c r="T145" s="38"/>
      <c r="U145" s="38"/>
      <c r="V145" s="38"/>
      <c r="W145" s="38"/>
      <c r="X145" s="38"/>
      <c r="Y145" s="30"/>
    </row>
    <row r="146" spans="1:25" s="14" customFormat="1" x14ac:dyDescent="0.35">
      <c r="A146" s="30" t="s">
        <v>119</v>
      </c>
      <c r="B146" s="30" t="s">
        <v>120</v>
      </c>
      <c r="C146" s="138" t="s">
        <v>124</v>
      </c>
      <c r="D146" s="30" t="s">
        <v>121</v>
      </c>
      <c r="E146" s="30"/>
      <c r="F146" s="30" t="s">
        <v>6</v>
      </c>
      <c r="G146" s="38">
        <v>12.5</v>
      </c>
      <c r="H146" s="38">
        <v>3.75</v>
      </c>
      <c r="I146" s="38">
        <v>40</v>
      </c>
      <c r="J146" s="38">
        <v>65</v>
      </c>
      <c r="K146" s="142">
        <v>22</v>
      </c>
      <c r="L146" s="38">
        <v>150</v>
      </c>
      <c r="M146" s="38">
        <v>100</v>
      </c>
      <c r="N146" s="38">
        <v>2.1333333333333333</v>
      </c>
      <c r="O146" s="38">
        <v>0</v>
      </c>
      <c r="P146" s="141" t="s">
        <v>65</v>
      </c>
      <c r="Q146" s="38">
        <v>3.75</v>
      </c>
      <c r="R146" s="38"/>
      <c r="S146" s="38"/>
      <c r="T146" s="38"/>
      <c r="U146" s="38"/>
      <c r="V146" s="38"/>
      <c r="W146" s="38"/>
      <c r="X146" s="38"/>
      <c r="Y146" s="30"/>
    </row>
    <row r="147" spans="1:25" s="14" customFormat="1" x14ac:dyDescent="0.35">
      <c r="A147" s="30" t="s">
        <v>119</v>
      </c>
      <c r="B147" s="30" t="s">
        <v>120</v>
      </c>
      <c r="C147" s="138" t="s">
        <v>124</v>
      </c>
      <c r="D147" s="30" t="s">
        <v>121</v>
      </c>
      <c r="E147" s="30"/>
      <c r="F147" s="30" t="s">
        <v>6</v>
      </c>
      <c r="G147" s="38">
        <v>12.5</v>
      </c>
      <c r="H147" s="38">
        <v>3.75</v>
      </c>
      <c r="I147" s="38">
        <v>40</v>
      </c>
      <c r="J147" s="38">
        <v>65</v>
      </c>
      <c r="K147" s="142">
        <v>22</v>
      </c>
      <c r="L147" s="38">
        <v>150</v>
      </c>
      <c r="M147" s="38">
        <v>100</v>
      </c>
      <c r="N147" s="38">
        <v>2.1333333333333333</v>
      </c>
      <c r="O147" s="38">
        <v>0</v>
      </c>
      <c r="P147" s="141" t="s">
        <v>65</v>
      </c>
      <c r="Q147" s="38">
        <v>3.75</v>
      </c>
      <c r="R147" s="38"/>
      <c r="S147" s="38"/>
      <c r="T147" s="38"/>
      <c r="U147" s="38"/>
      <c r="V147" s="38"/>
      <c r="W147" s="38"/>
      <c r="X147" s="38"/>
      <c r="Y147" s="30"/>
    </row>
    <row r="148" spans="1:25" s="14" customFormat="1" x14ac:dyDescent="0.35">
      <c r="A148" s="30" t="s">
        <v>119</v>
      </c>
      <c r="B148" s="30" t="s">
        <v>120</v>
      </c>
      <c r="C148" s="138" t="s">
        <v>124</v>
      </c>
      <c r="D148" s="30" t="s">
        <v>121</v>
      </c>
      <c r="E148" s="30"/>
      <c r="F148" s="30" t="s">
        <v>6</v>
      </c>
      <c r="G148" s="38">
        <v>18</v>
      </c>
      <c r="H148" s="38">
        <v>5.25</v>
      </c>
      <c r="I148" s="38">
        <v>40</v>
      </c>
      <c r="J148" s="38">
        <v>65</v>
      </c>
      <c r="K148" s="142">
        <v>32</v>
      </c>
      <c r="L148" s="38">
        <v>350</v>
      </c>
      <c r="M148" s="38">
        <v>275</v>
      </c>
      <c r="N148" s="38">
        <v>1.6</v>
      </c>
      <c r="O148" s="38">
        <v>0</v>
      </c>
      <c r="P148" s="141" t="s">
        <v>65</v>
      </c>
      <c r="Q148" s="38">
        <v>5.63</v>
      </c>
      <c r="R148" s="38"/>
      <c r="S148" s="38"/>
      <c r="T148" s="38"/>
      <c r="U148" s="38"/>
      <c r="V148" s="38"/>
      <c r="W148" s="38"/>
      <c r="X148" s="38"/>
      <c r="Y148" s="30"/>
    </row>
    <row r="149" spans="1:25" s="14" customFormat="1" x14ac:dyDescent="0.35">
      <c r="A149" s="30" t="s">
        <v>119</v>
      </c>
      <c r="B149" s="30" t="s">
        <v>120</v>
      </c>
      <c r="C149" s="138" t="s">
        <v>124</v>
      </c>
      <c r="D149" s="30" t="s">
        <v>121</v>
      </c>
      <c r="E149" s="30"/>
      <c r="F149" s="30" t="s">
        <v>6</v>
      </c>
      <c r="G149" s="38">
        <v>18</v>
      </c>
      <c r="H149" s="38">
        <v>5.25</v>
      </c>
      <c r="I149" s="38">
        <v>40</v>
      </c>
      <c r="J149" s="38">
        <v>65</v>
      </c>
      <c r="K149" s="142">
        <v>32</v>
      </c>
      <c r="L149" s="38">
        <v>350</v>
      </c>
      <c r="M149" s="38">
        <v>275</v>
      </c>
      <c r="N149" s="38">
        <v>1.6</v>
      </c>
      <c r="O149" s="38">
        <v>0</v>
      </c>
      <c r="P149" s="141" t="s">
        <v>65</v>
      </c>
      <c r="Q149" s="38">
        <v>5.63</v>
      </c>
      <c r="R149" s="38"/>
      <c r="S149" s="38"/>
      <c r="T149" s="38"/>
      <c r="U149" s="38"/>
      <c r="V149" s="38"/>
      <c r="W149" s="38"/>
      <c r="X149" s="38"/>
      <c r="Y149" s="30"/>
    </row>
    <row r="150" spans="1:25" s="163" customFormat="1" x14ac:dyDescent="0.35">
      <c r="A150" s="30" t="s">
        <v>119</v>
      </c>
      <c r="B150" s="30" t="s">
        <v>120</v>
      </c>
      <c r="C150" s="138" t="s">
        <v>124</v>
      </c>
      <c r="D150" s="30" t="s">
        <v>121</v>
      </c>
      <c r="E150" s="30"/>
      <c r="F150" s="30" t="s">
        <v>6</v>
      </c>
      <c r="G150" s="38">
        <v>18</v>
      </c>
      <c r="H150" s="38">
        <v>5.25</v>
      </c>
      <c r="I150" s="38">
        <v>40</v>
      </c>
      <c r="J150" s="38">
        <v>65</v>
      </c>
      <c r="K150" s="142">
        <v>32</v>
      </c>
      <c r="L150" s="38">
        <v>350</v>
      </c>
      <c r="M150" s="38">
        <v>275</v>
      </c>
      <c r="N150" s="38">
        <v>1.6</v>
      </c>
      <c r="O150" s="38">
        <v>0</v>
      </c>
      <c r="P150" s="141" t="s">
        <v>65</v>
      </c>
      <c r="Q150" s="38">
        <v>5.63</v>
      </c>
      <c r="R150" s="38"/>
      <c r="S150" s="38"/>
      <c r="T150" s="38"/>
      <c r="U150" s="38"/>
      <c r="V150" s="38"/>
      <c r="W150" s="38"/>
      <c r="X150" s="38"/>
      <c r="Y150" s="30"/>
    </row>
    <row r="151" spans="1:25" x14ac:dyDescent="0.35">
      <c r="A151" s="30" t="s">
        <v>119</v>
      </c>
      <c r="B151" s="30" t="s">
        <v>125</v>
      </c>
      <c r="C151" s="138"/>
      <c r="D151" s="30" t="s">
        <v>121</v>
      </c>
      <c r="E151" s="30" t="s">
        <v>122</v>
      </c>
      <c r="F151" s="30" t="s">
        <v>11</v>
      </c>
      <c r="G151" s="38">
        <v>1654</v>
      </c>
      <c r="H151" s="38">
        <v>5517</v>
      </c>
      <c r="I151" s="38">
        <v>52</v>
      </c>
      <c r="J151" s="38">
        <v>60</v>
      </c>
      <c r="K151" s="38">
        <v>16</v>
      </c>
      <c r="L151" s="38">
        <v>161.1</v>
      </c>
      <c r="M151" s="38">
        <v>173.2</v>
      </c>
      <c r="N151" s="38"/>
      <c r="O151" s="38"/>
      <c r="P151" s="141" t="s">
        <v>66</v>
      </c>
      <c r="Q151" s="38">
        <v>6773</v>
      </c>
      <c r="R151" s="38"/>
      <c r="S151" s="38"/>
      <c r="T151" s="38"/>
      <c r="U151" s="38"/>
      <c r="V151" s="38"/>
      <c r="W151" s="38"/>
      <c r="X151" s="38"/>
    </row>
    <row r="152" spans="1:25" s="163" customFormat="1" x14ac:dyDescent="0.35">
      <c r="A152" s="30" t="s">
        <v>119</v>
      </c>
      <c r="B152" s="30" t="s">
        <v>125</v>
      </c>
      <c r="C152" s="30"/>
      <c r="D152" s="30" t="s">
        <v>121</v>
      </c>
      <c r="E152" s="30" t="s">
        <v>123</v>
      </c>
      <c r="F152" s="30" t="s">
        <v>11</v>
      </c>
      <c r="G152" s="38">
        <v>4235</v>
      </c>
      <c r="H152" s="38">
        <v>4030</v>
      </c>
      <c r="I152" s="38">
        <v>57</v>
      </c>
      <c r="J152" s="38">
        <v>57</v>
      </c>
      <c r="K152" s="38">
        <v>12</v>
      </c>
      <c r="L152" s="38">
        <v>182</v>
      </c>
      <c r="M152" s="38">
        <v>107</v>
      </c>
      <c r="N152" s="38"/>
      <c r="O152" s="38"/>
      <c r="P152" s="141" t="s">
        <v>66</v>
      </c>
      <c r="Q152" s="38">
        <v>7235</v>
      </c>
      <c r="R152" s="38"/>
      <c r="S152" s="38"/>
      <c r="T152" s="38"/>
      <c r="U152" s="38"/>
      <c r="V152" s="38"/>
      <c r="W152" s="38"/>
      <c r="X152" s="38"/>
      <c r="Y152" s="30"/>
    </row>
    <row r="153" spans="1:25" x14ac:dyDescent="0.35">
      <c r="A153" s="30" t="s">
        <v>119</v>
      </c>
      <c r="B153" s="30" t="s">
        <v>125</v>
      </c>
      <c r="C153" s="30">
        <v>2239756</v>
      </c>
      <c r="D153" s="30" t="s">
        <v>121</v>
      </c>
      <c r="E153" s="30" t="s">
        <v>122</v>
      </c>
      <c r="F153" s="30" t="s">
        <v>11</v>
      </c>
      <c r="G153" s="38">
        <v>1654</v>
      </c>
      <c r="H153" s="38">
        <v>5517</v>
      </c>
      <c r="I153" s="38">
        <v>52</v>
      </c>
      <c r="J153" s="38">
        <v>60</v>
      </c>
      <c r="K153" s="38">
        <v>16</v>
      </c>
      <c r="L153" s="38">
        <v>161.1</v>
      </c>
      <c r="M153" s="38">
        <v>173.2</v>
      </c>
      <c r="N153" s="38">
        <v>4.6182495344506524E-2</v>
      </c>
      <c r="O153" s="38">
        <v>5.3161085450346424E-2</v>
      </c>
      <c r="P153" s="141" t="s">
        <v>66</v>
      </c>
      <c r="Q153" s="38">
        <v>6773</v>
      </c>
      <c r="R153" s="38"/>
      <c r="S153" s="38"/>
      <c r="T153" s="38"/>
      <c r="U153" s="38"/>
      <c r="V153" s="38"/>
      <c r="W153" s="38"/>
      <c r="X153" s="38"/>
    </row>
    <row r="154" spans="1:25" x14ac:dyDescent="0.35">
      <c r="A154" s="30" t="s">
        <v>119</v>
      </c>
      <c r="B154" s="30" t="s">
        <v>125</v>
      </c>
      <c r="C154" s="30">
        <v>2238456</v>
      </c>
      <c r="D154" s="30" t="s">
        <v>121</v>
      </c>
      <c r="E154" s="30" t="s">
        <v>122</v>
      </c>
      <c r="F154" s="30" t="s">
        <v>11</v>
      </c>
      <c r="G154" s="38">
        <v>7439</v>
      </c>
      <c r="H154" s="38">
        <v>5438</v>
      </c>
      <c r="I154" s="38">
        <v>51</v>
      </c>
      <c r="J154" s="38">
        <v>62</v>
      </c>
      <c r="K154" s="38">
        <v>14</v>
      </c>
      <c r="L154" s="38">
        <v>167.4</v>
      </c>
      <c r="M154" s="38">
        <v>131.80000000000001</v>
      </c>
      <c r="N154" s="38">
        <v>0.20549581839904416</v>
      </c>
      <c r="O154" s="38">
        <v>0</v>
      </c>
      <c r="P154" s="141" t="s">
        <v>66</v>
      </c>
      <c r="Q154" s="38">
        <v>5187</v>
      </c>
      <c r="R154" s="38"/>
      <c r="S154" s="38"/>
      <c r="T154" s="38"/>
      <c r="U154" s="38"/>
      <c r="V154" s="38"/>
      <c r="W154" s="38"/>
      <c r="X154" s="38"/>
    </row>
    <row r="155" spans="1:25" x14ac:dyDescent="0.35">
      <c r="A155" s="30" t="s">
        <v>119</v>
      </c>
      <c r="B155" s="30" t="s">
        <v>125</v>
      </c>
      <c r="C155" s="30">
        <v>2253463</v>
      </c>
      <c r="D155" s="30" t="s">
        <v>121</v>
      </c>
      <c r="E155" s="30" t="s">
        <v>122</v>
      </c>
      <c r="F155" s="30" t="s">
        <v>11</v>
      </c>
      <c r="G155" s="38">
        <v>5003</v>
      </c>
      <c r="H155" s="38">
        <v>5101</v>
      </c>
      <c r="I155" s="38">
        <v>58</v>
      </c>
      <c r="J155" s="38">
        <v>62</v>
      </c>
      <c r="K155" s="38">
        <v>14</v>
      </c>
      <c r="L155" s="38">
        <v>204.1</v>
      </c>
      <c r="M155" s="38">
        <v>140.9</v>
      </c>
      <c r="N155" s="38">
        <v>9.7991180793728566E-2</v>
      </c>
      <c r="O155" s="38">
        <v>0</v>
      </c>
      <c r="P155" s="141" t="s">
        <v>66</v>
      </c>
      <c r="Q155" s="38">
        <v>4977</v>
      </c>
      <c r="R155" s="38"/>
      <c r="S155" s="38"/>
      <c r="T155" s="38"/>
      <c r="U155" s="38"/>
      <c r="V155" s="38"/>
      <c r="W155" s="38"/>
      <c r="X155" s="38"/>
    </row>
    <row r="156" spans="1:25" x14ac:dyDescent="0.35">
      <c r="A156" s="30" t="s">
        <v>119</v>
      </c>
      <c r="B156" s="30" t="s">
        <v>125</v>
      </c>
      <c r="D156" s="30" t="s">
        <v>121</v>
      </c>
      <c r="E156" s="30" t="s">
        <v>122</v>
      </c>
      <c r="F156" s="30" t="s">
        <v>11</v>
      </c>
      <c r="G156" s="38">
        <v>10604</v>
      </c>
      <c r="H156" s="38">
        <v>6703</v>
      </c>
      <c r="I156" s="38">
        <v>57</v>
      </c>
      <c r="J156" s="38">
        <v>61</v>
      </c>
      <c r="K156" s="38">
        <v>40</v>
      </c>
      <c r="L156" s="38">
        <v>649</v>
      </c>
      <c r="M156" s="38">
        <v>415</v>
      </c>
      <c r="N156" s="38"/>
      <c r="O156" s="38"/>
      <c r="P156" s="141" t="s">
        <v>66</v>
      </c>
      <c r="Q156" s="38">
        <v>17901</v>
      </c>
      <c r="R156" s="38"/>
      <c r="S156" s="38"/>
      <c r="T156" s="38"/>
      <c r="U156" s="38"/>
      <c r="V156" s="38"/>
      <c r="W156" s="38"/>
      <c r="X156" s="38"/>
    </row>
    <row r="157" spans="1:25" x14ac:dyDescent="0.35">
      <c r="A157" s="30" t="s">
        <v>119</v>
      </c>
      <c r="B157" s="30" t="s">
        <v>125</v>
      </c>
      <c r="D157" s="30" t="s">
        <v>121</v>
      </c>
      <c r="E157" s="30" t="s">
        <v>122</v>
      </c>
      <c r="F157" s="30" t="s">
        <v>11</v>
      </c>
      <c r="G157" s="38">
        <v>5099</v>
      </c>
      <c r="H157" s="38">
        <v>4801</v>
      </c>
      <c r="I157" s="38">
        <v>57</v>
      </c>
      <c r="J157" s="38">
        <v>59</v>
      </c>
      <c r="K157" s="38">
        <v>14</v>
      </c>
      <c r="L157" s="38">
        <v>187</v>
      </c>
      <c r="M157" s="38">
        <v>133</v>
      </c>
      <c r="N157" s="38"/>
      <c r="O157" s="38"/>
      <c r="P157" s="141" t="s">
        <v>66</v>
      </c>
      <c r="Q157" s="38">
        <v>5140</v>
      </c>
      <c r="R157" s="38"/>
      <c r="S157" s="38"/>
      <c r="T157" s="38"/>
      <c r="U157" s="38"/>
      <c r="V157" s="38"/>
      <c r="W157" s="38"/>
      <c r="X157" s="38"/>
    </row>
    <row r="158" spans="1:25" x14ac:dyDescent="0.35">
      <c r="A158" s="30" t="s">
        <v>119</v>
      </c>
      <c r="B158" s="30" t="s">
        <v>125</v>
      </c>
      <c r="C158" s="30">
        <v>2341513</v>
      </c>
      <c r="D158" s="30" t="s">
        <v>121</v>
      </c>
      <c r="E158" s="30" t="s">
        <v>123</v>
      </c>
      <c r="F158" s="30" t="s">
        <v>11</v>
      </c>
      <c r="G158" s="38">
        <v>5038</v>
      </c>
      <c r="H158" s="38">
        <v>3158</v>
      </c>
      <c r="I158" s="38">
        <v>43</v>
      </c>
      <c r="J158" s="38">
        <v>58</v>
      </c>
      <c r="K158" s="38">
        <v>6</v>
      </c>
      <c r="L158" s="38">
        <v>126.07</v>
      </c>
      <c r="M158" s="38">
        <v>62.95</v>
      </c>
      <c r="N158" s="38">
        <v>0.14595066233045134</v>
      </c>
      <c r="O158" s="38">
        <v>0</v>
      </c>
      <c r="P158" s="141" t="s">
        <v>66</v>
      </c>
      <c r="R158" s="38"/>
      <c r="S158" s="38"/>
      <c r="T158" s="38"/>
      <c r="U158" s="38"/>
      <c r="V158" s="38"/>
      <c r="W158" s="38"/>
      <c r="X158" s="38"/>
    </row>
    <row r="159" spans="1:25" x14ac:dyDescent="0.35">
      <c r="A159" s="30" t="s">
        <v>119</v>
      </c>
      <c r="B159" s="30" t="s">
        <v>125</v>
      </c>
      <c r="C159" s="30">
        <v>2356781</v>
      </c>
      <c r="D159" s="30" t="s">
        <v>121</v>
      </c>
      <c r="E159" s="30" t="s">
        <v>123</v>
      </c>
      <c r="F159" s="30" t="s">
        <v>11</v>
      </c>
      <c r="G159" s="38">
        <v>6232</v>
      </c>
      <c r="H159" s="38">
        <v>4223</v>
      </c>
      <c r="I159" s="38">
        <v>45</v>
      </c>
      <c r="J159" s="38">
        <v>63</v>
      </c>
      <c r="K159" s="38">
        <v>10</v>
      </c>
      <c r="L159" s="38">
        <v>200.12</v>
      </c>
      <c r="M159" s="38">
        <v>98.27</v>
      </c>
      <c r="N159" s="38">
        <v>0.1559064561263242</v>
      </c>
      <c r="O159" s="38">
        <v>0</v>
      </c>
      <c r="P159" s="141" t="s">
        <v>66</v>
      </c>
      <c r="R159" s="38"/>
      <c r="S159" s="38"/>
      <c r="T159" s="38"/>
      <c r="U159" s="38"/>
      <c r="V159" s="38"/>
      <c r="W159" s="38"/>
      <c r="X159" s="38"/>
    </row>
    <row r="160" spans="1:25" x14ac:dyDescent="0.35">
      <c r="A160" s="30" t="s">
        <v>119</v>
      </c>
      <c r="B160" s="30" t="s">
        <v>125</v>
      </c>
      <c r="D160" s="30" t="s">
        <v>121</v>
      </c>
      <c r="E160" s="30" t="s">
        <v>123</v>
      </c>
      <c r="F160" s="30" t="s">
        <v>11</v>
      </c>
      <c r="G160" s="38">
        <v>8081</v>
      </c>
      <c r="H160" s="38">
        <v>3755</v>
      </c>
      <c r="I160" s="38">
        <v>53</v>
      </c>
      <c r="J160" s="38">
        <v>61</v>
      </c>
      <c r="K160" s="38">
        <v>10</v>
      </c>
      <c r="L160" s="38">
        <v>168</v>
      </c>
      <c r="M160" s="38">
        <v>104</v>
      </c>
      <c r="N160" s="38"/>
      <c r="O160" s="38"/>
      <c r="P160" s="141" t="s">
        <v>66</v>
      </c>
      <c r="Q160" s="38">
        <v>4960</v>
      </c>
      <c r="R160" s="38"/>
      <c r="S160" s="38"/>
      <c r="T160" s="38"/>
      <c r="U160" s="38"/>
      <c r="V160" s="38"/>
      <c r="W160" s="38"/>
      <c r="X160" s="38"/>
    </row>
    <row r="161" spans="1:24" x14ac:dyDescent="0.35">
      <c r="A161" s="30" t="s">
        <v>119</v>
      </c>
      <c r="B161" s="30" t="s">
        <v>125</v>
      </c>
      <c r="C161" s="30">
        <v>2327372</v>
      </c>
      <c r="D161" s="30" t="s">
        <v>121</v>
      </c>
      <c r="E161" s="30" t="s">
        <v>122</v>
      </c>
      <c r="F161" s="30" t="s">
        <v>11</v>
      </c>
      <c r="G161" s="38">
        <v>6485</v>
      </c>
      <c r="H161" s="38">
        <v>6585</v>
      </c>
      <c r="I161" s="38">
        <v>48</v>
      </c>
      <c r="J161" s="38">
        <v>62</v>
      </c>
      <c r="K161" s="38">
        <v>20</v>
      </c>
      <c r="L161" s="38">
        <v>264.7</v>
      </c>
      <c r="M161" s="38">
        <v>193.1</v>
      </c>
      <c r="N161" s="38">
        <v>0.2538723082735172</v>
      </c>
      <c r="O161" s="38">
        <v>0.3529259451061626</v>
      </c>
      <c r="P161" s="141" t="s">
        <v>66</v>
      </c>
      <c r="Q161" s="38">
        <v>15083</v>
      </c>
      <c r="R161" s="38"/>
      <c r="S161" s="38"/>
      <c r="T161" s="38"/>
      <c r="U161" s="38"/>
      <c r="V161" s="38"/>
      <c r="W161" s="38"/>
      <c r="X161" s="38"/>
    </row>
    <row r="162" spans="1:24" x14ac:dyDescent="0.35">
      <c r="A162" s="30" t="s">
        <v>119</v>
      </c>
      <c r="B162" s="30" t="s">
        <v>125</v>
      </c>
      <c r="C162" s="30">
        <v>2327389</v>
      </c>
      <c r="D162" s="30" t="s">
        <v>121</v>
      </c>
      <c r="E162" s="30" t="s">
        <v>122</v>
      </c>
      <c r="F162" s="30" t="s">
        <v>11</v>
      </c>
      <c r="G162" s="38">
        <v>7761</v>
      </c>
      <c r="H162" s="38">
        <v>6585</v>
      </c>
      <c r="I162" s="38">
        <v>55</v>
      </c>
      <c r="J162" s="38">
        <v>62</v>
      </c>
      <c r="K162" s="38">
        <v>20</v>
      </c>
      <c r="L162" s="38">
        <v>180</v>
      </c>
      <c r="M162" s="38">
        <v>193.1</v>
      </c>
      <c r="N162" s="38">
        <v>0.2088888888888889</v>
      </c>
      <c r="O162" s="38">
        <v>0.3529259451061626</v>
      </c>
      <c r="P162" s="141" t="s">
        <v>66</v>
      </c>
      <c r="R162" s="38"/>
      <c r="S162" s="38"/>
      <c r="T162" s="38"/>
      <c r="U162" s="38"/>
      <c r="V162" s="38"/>
      <c r="W162" s="38"/>
      <c r="X162" s="38"/>
    </row>
    <row r="163" spans="1:24" x14ac:dyDescent="0.35">
      <c r="A163" s="30" t="s">
        <v>119</v>
      </c>
      <c r="B163" s="30" t="s">
        <v>125</v>
      </c>
      <c r="C163" s="30">
        <v>2232233</v>
      </c>
      <c r="D163" s="30" t="s">
        <v>121</v>
      </c>
      <c r="E163" s="30" t="s">
        <v>123</v>
      </c>
      <c r="F163" s="30" t="s">
        <v>11</v>
      </c>
      <c r="G163" s="38">
        <v>4570</v>
      </c>
      <c r="H163" s="38">
        <v>3290</v>
      </c>
      <c r="I163" s="38">
        <v>47</v>
      </c>
      <c r="J163" s="38">
        <v>64</v>
      </c>
      <c r="K163" s="38">
        <v>6</v>
      </c>
      <c r="L163" s="38">
        <v>113.54</v>
      </c>
      <c r="M163" s="38">
        <v>55.82</v>
      </c>
      <c r="N163" s="38">
        <v>2.8183899947155186E-2</v>
      </c>
      <c r="O163" s="38">
        <v>0</v>
      </c>
      <c r="P163" s="141" t="s">
        <v>66</v>
      </c>
      <c r="R163" s="38"/>
      <c r="S163" s="38"/>
      <c r="T163" s="38"/>
      <c r="U163" s="38"/>
      <c r="V163" s="38"/>
      <c r="W163" s="38"/>
      <c r="X163" s="38"/>
    </row>
    <row r="164" spans="1:24" x14ac:dyDescent="0.35">
      <c r="A164" s="30" t="s">
        <v>119</v>
      </c>
      <c r="B164" s="30" t="s">
        <v>125</v>
      </c>
      <c r="C164" s="30">
        <v>2232236</v>
      </c>
      <c r="D164" s="30" t="s">
        <v>121</v>
      </c>
      <c r="E164" s="30" t="s">
        <v>122</v>
      </c>
      <c r="F164" s="30" t="s">
        <v>11</v>
      </c>
      <c r="G164" s="38">
        <v>5302</v>
      </c>
      <c r="H164" s="38">
        <v>3990</v>
      </c>
      <c r="I164" s="38">
        <v>53</v>
      </c>
      <c r="J164" s="38">
        <v>67</v>
      </c>
      <c r="K164" s="38">
        <v>6</v>
      </c>
      <c r="L164" s="38">
        <v>217</v>
      </c>
      <c r="M164" s="38">
        <v>119.45</v>
      </c>
      <c r="N164" s="38">
        <v>2.0276497695852536E-2</v>
      </c>
      <c r="O164" s="38">
        <v>0</v>
      </c>
      <c r="P164" s="141" t="s">
        <v>66</v>
      </c>
      <c r="R164" s="38"/>
      <c r="S164" s="38"/>
      <c r="T164" s="38"/>
      <c r="U164" s="38"/>
      <c r="V164" s="38"/>
      <c r="W164" s="38"/>
      <c r="X164" s="38"/>
    </row>
    <row r="165" spans="1:24" x14ac:dyDescent="0.35">
      <c r="A165" s="30" t="s">
        <v>119</v>
      </c>
      <c r="B165" s="30" t="s">
        <v>125</v>
      </c>
      <c r="C165" s="30">
        <v>2359354</v>
      </c>
      <c r="D165" s="30" t="s">
        <v>121</v>
      </c>
      <c r="E165" s="30" t="s">
        <v>123</v>
      </c>
      <c r="F165" s="30" t="s">
        <v>11</v>
      </c>
      <c r="G165" s="38">
        <v>3614</v>
      </c>
      <c r="H165" s="38">
        <v>2732</v>
      </c>
      <c r="I165" s="38">
        <v>46</v>
      </c>
      <c r="J165" s="38">
        <v>60</v>
      </c>
      <c r="K165" s="38">
        <v>6</v>
      </c>
      <c r="L165" s="38">
        <v>115.63</v>
      </c>
      <c r="M165" s="38">
        <v>56.72</v>
      </c>
      <c r="N165" s="38">
        <v>0.15220963417798153</v>
      </c>
      <c r="O165" s="38">
        <v>0</v>
      </c>
      <c r="P165" s="141" t="s">
        <v>66</v>
      </c>
      <c r="Q165" s="38">
        <v>2830</v>
      </c>
      <c r="R165" s="38"/>
      <c r="S165" s="38"/>
      <c r="T165" s="38"/>
      <c r="U165" s="38"/>
      <c r="V165" s="38"/>
      <c r="W165" s="38"/>
      <c r="X165" s="38"/>
    </row>
    <row r="166" spans="1:24" x14ac:dyDescent="0.35">
      <c r="A166" s="30" t="s">
        <v>119</v>
      </c>
      <c r="B166" s="30" t="s">
        <v>125</v>
      </c>
      <c r="C166" s="30">
        <v>2359358</v>
      </c>
      <c r="D166" s="30" t="s">
        <v>121</v>
      </c>
      <c r="E166" s="30" t="s">
        <v>123</v>
      </c>
      <c r="F166" s="30" t="s">
        <v>11</v>
      </c>
      <c r="G166" s="38">
        <v>7741</v>
      </c>
      <c r="H166" s="38">
        <v>3833</v>
      </c>
      <c r="I166" s="38">
        <v>50</v>
      </c>
      <c r="J166" s="38">
        <v>62</v>
      </c>
      <c r="K166" s="38">
        <v>10</v>
      </c>
      <c r="L166" s="38">
        <v>194.6</v>
      </c>
      <c r="M166" s="38">
        <v>112</v>
      </c>
      <c r="N166" s="38">
        <v>0.17307297019527235</v>
      </c>
      <c r="O166" s="38">
        <v>7.1205357142857138E-3</v>
      </c>
      <c r="P166" s="141" t="s">
        <v>66</v>
      </c>
      <c r="Q166" s="38">
        <v>4438</v>
      </c>
      <c r="R166" s="38"/>
      <c r="S166" s="38"/>
      <c r="T166" s="38"/>
      <c r="U166" s="38"/>
      <c r="V166" s="38"/>
      <c r="W166" s="38"/>
      <c r="X166" s="38"/>
    </row>
    <row r="167" spans="1:24" x14ac:dyDescent="0.35">
      <c r="A167" s="30" t="s">
        <v>119</v>
      </c>
      <c r="B167" s="30" t="s">
        <v>125</v>
      </c>
      <c r="C167" s="30">
        <v>2359357</v>
      </c>
      <c r="D167" s="30" t="s">
        <v>121</v>
      </c>
      <c r="E167" s="30" t="s">
        <v>122</v>
      </c>
      <c r="F167" s="30" t="s">
        <v>11</v>
      </c>
      <c r="G167" s="38">
        <v>7108</v>
      </c>
      <c r="H167" s="38">
        <v>4144</v>
      </c>
      <c r="I167" s="38">
        <v>48</v>
      </c>
      <c r="J167" s="38">
        <v>63</v>
      </c>
      <c r="K167" s="38">
        <v>12</v>
      </c>
      <c r="L167" s="38">
        <v>210.1</v>
      </c>
      <c r="M167" s="38">
        <v>130.69999999999999</v>
      </c>
      <c r="N167" s="38">
        <v>0.33507853403141363</v>
      </c>
      <c r="O167" s="38">
        <v>1.6641162968630452E-3</v>
      </c>
      <c r="P167" s="141" t="s">
        <v>66</v>
      </c>
      <c r="Q167" s="38">
        <v>4823</v>
      </c>
      <c r="R167" s="38"/>
      <c r="S167" s="38"/>
      <c r="T167" s="38"/>
      <c r="U167" s="38"/>
      <c r="V167" s="38"/>
      <c r="W167" s="38"/>
      <c r="X167" s="38"/>
    </row>
    <row r="168" spans="1:24" x14ac:dyDescent="0.35">
      <c r="A168" s="30" t="s">
        <v>119</v>
      </c>
      <c r="B168" s="30" t="s">
        <v>125</v>
      </c>
      <c r="C168" s="30">
        <v>2359359</v>
      </c>
      <c r="D168" s="30" t="s">
        <v>121</v>
      </c>
      <c r="E168" s="30" t="s">
        <v>122</v>
      </c>
      <c r="F168" s="30" t="s">
        <v>11</v>
      </c>
      <c r="G168" s="38">
        <v>6653</v>
      </c>
      <c r="H168" s="38">
        <v>5140</v>
      </c>
      <c r="I168" s="38">
        <v>54</v>
      </c>
      <c r="J168" s="38">
        <v>59</v>
      </c>
      <c r="K168" s="38">
        <v>20</v>
      </c>
      <c r="L168" s="38">
        <v>393.7</v>
      </c>
      <c r="M168" s="38">
        <v>214.8</v>
      </c>
      <c r="N168" s="38">
        <v>0.12639065278130557</v>
      </c>
      <c r="O168" s="38">
        <v>1.0125698324022347E-3</v>
      </c>
      <c r="P168" s="141" t="s">
        <v>66</v>
      </c>
      <c r="Q168" s="38">
        <v>6729</v>
      </c>
      <c r="R168" s="38"/>
      <c r="S168" s="38"/>
      <c r="T168" s="38"/>
      <c r="U168" s="38"/>
      <c r="V168" s="38"/>
      <c r="W168" s="38"/>
      <c r="X168" s="38"/>
    </row>
    <row r="169" spans="1:24" x14ac:dyDescent="0.35">
      <c r="A169" s="30" t="s">
        <v>119</v>
      </c>
      <c r="B169" s="30" t="s">
        <v>125</v>
      </c>
      <c r="C169" s="30">
        <v>2359352</v>
      </c>
      <c r="D169" s="30" t="s">
        <v>121</v>
      </c>
      <c r="E169" s="30" t="s">
        <v>123</v>
      </c>
      <c r="F169" s="30" t="s">
        <v>11</v>
      </c>
      <c r="G169" s="38">
        <v>6538</v>
      </c>
      <c r="H169" s="38">
        <v>6015</v>
      </c>
      <c r="I169" s="38">
        <v>46</v>
      </c>
      <c r="J169" s="38">
        <v>65</v>
      </c>
      <c r="K169" s="38">
        <v>20</v>
      </c>
      <c r="L169" s="38">
        <v>381.44</v>
      </c>
      <c r="M169" s="38">
        <v>190.4</v>
      </c>
      <c r="N169" s="38">
        <v>0.25167785234899326</v>
      </c>
      <c r="O169" s="38">
        <v>0</v>
      </c>
      <c r="P169" s="141" t="s">
        <v>66</v>
      </c>
      <c r="Q169" s="38">
        <v>6681</v>
      </c>
      <c r="R169" s="38"/>
      <c r="S169" s="38"/>
      <c r="T169" s="38"/>
      <c r="U169" s="38"/>
      <c r="V169" s="38"/>
      <c r="W169" s="38"/>
      <c r="X169" s="38"/>
    </row>
    <row r="170" spans="1:24" x14ac:dyDescent="0.35">
      <c r="A170" s="30" t="s">
        <v>119</v>
      </c>
      <c r="B170" s="30" t="s">
        <v>125</v>
      </c>
      <c r="C170" s="30">
        <v>2359353</v>
      </c>
      <c r="D170" s="30" t="s">
        <v>121</v>
      </c>
      <c r="E170" s="30" t="s">
        <v>122</v>
      </c>
      <c r="F170" s="30" t="s">
        <v>11</v>
      </c>
      <c r="G170" s="38">
        <v>12015</v>
      </c>
      <c r="H170" s="38">
        <v>7401</v>
      </c>
      <c r="I170" s="38">
        <v>55</v>
      </c>
      <c r="J170" s="38">
        <v>62</v>
      </c>
      <c r="K170" s="38">
        <v>40</v>
      </c>
      <c r="L170" s="38">
        <v>690.71</v>
      </c>
      <c r="M170" s="38">
        <v>383.41</v>
      </c>
      <c r="N170" s="38">
        <v>0.23396215488410477</v>
      </c>
      <c r="O170" s="38">
        <v>1.8909261625935682E-3</v>
      </c>
      <c r="P170" s="141" t="s">
        <v>66</v>
      </c>
      <c r="Q170" s="38">
        <v>14615</v>
      </c>
      <c r="R170" s="38"/>
      <c r="S170" s="38"/>
      <c r="T170" s="38"/>
      <c r="U170" s="38"/>
      <c r="V170" s="38"/>
      <c r="W170" s="38"/>
      <c r="X170" s="38"/>
    </row>
    <row r="171" spans="1:24" x14ac:dyDescent="0.35">
      <c r="A171" s="30" t="s">
        <v>119</v>
      </c>
      <c r="B171" s="30" t="s">
        <v>125</v>
      </c>
      <c r="C171" s="30">
        <v>2359753</v>
      </c>
      <c r="D171" s="30" t="s">
        <v>121</v>
      </c>
      <c r="E171" s="30" t="s">
        <v>123</v>
      </c>
      <c r="F171" s="30" t="s">
        <v>11</v>
      </c>
      <c r="G171" s="38">
        <v>5596</v>
      </c>
      <c r="H171" s="38">
        <v>4660</v>
      </c>
      <c r="I171" s="38">
        <v>47</v>
      </c>
      <c r="J171" s="38">
        <v>58</v>
      </c>
      <c r="K171" s="38">
        <v>7</v>
      </c>
      <c r="L171" s="38">
        <v>120.35</v>
      </c>
      <c r="M171" s="38">
        <v>73.87</v>
      </c>
      <c r="N171" s="38">
        <v>0.19609472372247613</v>
      </c>
      <c r="O171" s="38">
        <v>0</v>
      </c>
      <c r="P171" s="141" t="s">
        <v>66</v>
      </c>
      <c r="R171" s="38"/>
      <c r="S171" s="38"/>
      <c r="T171" s="38"/>
      <c r="U171" s="38"/>
      <c r="V171" s="38"/>
      <c r="W171" s="38"/>
      <c r="X171" s="38"/>
    </row>
    <row r="172" spans="1:24" x14ac:dyDescent="0.35">
      <c r="A172" s="30" t="s">
        <v>119</v>
      </c>
      <c r="B172" s="30" t="s">
        <v>125</v>
      </c>
      <c r="C172" s="30">
        <v>2295147</v>
      </c>
      <c r="D172" s="30" t="s">
        <v>121</v>
      </c>
      <c r="E172" s="30" t="s">
        <v>123</v>
      </c>
      <c r="F172" s="30" t="s">
        <v>11</v>
      </c>
      <c r="G172" s="38">
        <v>3190</v>
      </c>
      <c r="H172" s="38">
        <v>2825</v>
      </c>
      <c r="I172" s="38">
        <v>57</v>
      </c>
      <c r="J172" s="38">
        <v>59</v>
      </c>
      <c r="K172" s="38">
        <v>10</v>
      </c>
      <c r="L172" s="38">
        <v>145</v>
      </c>
      <c r="M172" s="38">
        <v>94.8</v>
      </c>
      <c r="N172" s="38">
        <v>0.11420689655172413</v>
      </c>
      <c r="O172" s="38">
        <v>0</v>
      </c>
      <c r="P172" s="141" t="s">
        <v>66</v>
      </c>
      <c r="R172" s="38"/>
      <c r="S172" s="38"/>
      <c r="T172" s="38"/>
      <c r="U172" s="38"/>
      <c r="V172" s="38"/>
      <c r="W172" s="38"/>
      <c r="X172" s="38"/>
    </row>
    <row r="173" spans="1:24" x14ac:dyDescent="0.35">
      <c r="A173" s="30" t="s">
        <v>119</v>
      </c>
      <c r="B173" s="30" t="s">
        <v>125</v>
      </c>
      <c r="C173" s="30">
        <v>2362228</v>
      </c>
      <c r="D173" s="30" t="s">
        <v>121</v>
      </c>
      <c r="E173" s="30" t="s">
        <v>123</v>
      </c>
      <c r="F173" s="30" t="s">
        <v>11</v>
      </c>
      <c r="G173" s="38">
        <v>6002</v>
      </c>
      <c r="H173" s="38">
        <v>4968</v>
      </c>
      <c r="I173" s="38">
        <v>51</v>
      </c>
      <c r="J173" s="38">
        <v>61</v>
      </c>
      <c r="K173" s="38">
        <v>10</v>
      </c>
      <c r="L173" s="38">
        <v>145.5</v>
      </c>
      <c r="M173" s="38">
        <v>89.4</v>
      </c>
      <c r="N173" s="38">
        <v>0.23092783505154643</v>
      </c>
      <c r="O173" s="38">
        <v>0</v>
      </c>
      <c r="P173" s="141" t="s">
        <v>66</v>
      </c>
      <c r="R173" s="38"/>
      <c r="S173" s="38"/>
      <c r="T173" s="38"/>
      <c r="U173" s="38"/>
      <c r="V173" s="38"/>
      <c r="W173" s="38"/>
      <c r="X173" s="38"/>
    </row>
    <row r="174" spans="1:24" x14ac:dyDescent="0.35">
      <c r="A174" s="30" t="s">
        <v>119</v>
      </c>
      <c r="B174" s="30" t="s">
        <v>125</v>
      </c>
      <c r="C174" s="30">
        <v>2268438</v>
      </c>
      <c r="D174" s="30" t="s">
        <v>121</v>
      </c>
      <c r="E174" s="30" t="s">
        <v>122</v>
      </c>
      <c r="F174" s="30" t="s">
        <v>11</v>
      </c>
      <c r="G174" s="38">
        <v>3869</v>
      </c>
      <c r="H174" s="38">
        <v>2330</v>
      </c>
      <c r="I174" s="38">
        <v>48</v>
      </c>
      <c r="J174" s="38">
        <v>57</v>
      </c>
      <c r="K174" s="38">
        <v>12</v>
      </c>
      <c r="L174" s="38">
        <v>76.760000000000005</v>
      </c>
      <c r="M174" s="38">
        <v>52.38</v>
      </c>
      <c r="N174" s="38">
        <v>0.44815007816571129</v>
      </c>
      <c r="O174" s="38">
        <v>0</v>
      </c>
      <c r="P174" s="141" t="s">
        <v>66</v>
      </c>
      <c r="Q174" s="38">
        <v>5911</v>
      </c>
      <c r="R174" s="38"/>
      <c r="S174" s="38"/>
      <c r="T174" s="38"/>
      <c r="U174" s="38"/>
      <c r="V174" s="38"/>
      <c r="W174" s="38"/>
      <c r="X174" s="38"/>
    </row>
    <row r="175" spans="1:24" x14ac:dyDescent="0.35">
      <c r="A175" s="30" t="s">
        <v>119</v>
      </c>
      <c r="B175" s="30" t="s">
        <v>125</v>
      </c>
      <c r="C175" s="30">
        <v>2263535</v>
      </c>
      <c r="D175" s="30" t="s">
        <v>121</v>
      </c>
      <c r="E175" s="30" t="s">
        <v>122</v>
      </c>
      <c r="F175" s="30" t="s">
        <v>11</v>
      </c>
      <c r="G175" s="38">
        <v>4765</v>
      </c>
      <c r="H175" s="38">
        <v>4051</v>
      </c>
      <c r="I175" s="38">
        <v>49</v>
      </c>
      <c r="J175" s="38">
        <v>63</v>
      </c>
      <c r="K175" s="38">
        <v>20</v>
      </c>
      <c r="L175" s="38">
        <v>260</v>
      </c>
      <c r="M175" s="38">
        <v>188.6</v>
      </c>
      <c r="N175" s="38">
        <v>0.39076923076923081</v>
      </c>
      <c r="O175" s="38">
        <v>0</v>
      </c>
      <c r="P175" s="141" t="s">
        <v>66</v>
      </c>
      <c r="Q175" s="38">
        <v>7975</v>
      </c>
      <c r="R175" s="38"/>
      <c r="S175" s="38"/>
      <c r="T175" s="38"/>
      <c r="U175" s="38"/>
      <c r="V175" s="38"/>
      <c r="W175" s="38"/>
      <c r="X175" s="38"/>
    </row>
    <row r="176" spans="1:24" x14ac:dyDescent="0.35">
      <c r="A176" s="30" t="s">
        <v>119</v>
      </c>
      <c r="B176" s="30" t="s">
        <v>125</v>
      </c>
      <c r="C176" s="30">
        <v>2359758</v>
      </c>
      <c r="D176" s="30" t="s">
        <v>121</v>
      </c>
      <c r="E176" s="30" t="s">
        <v>123</v>
      </c>
      <c r="F176" s="30" t="s">
        <v>11</v>
      </c>
      <c r="G176" s="38">
        <v>6837</v>
      </c>
      <c r="H176" s="38">
        <v>6110</v>
      </c>
      <c r="I176" s="38">
        <v>56</v>
      </c>
      <c r="J176" s="38">
        <v>57</v>
      </c>
      <c r="K176" s="38">
        <v>20</v>
      </c>
      <c r="L176" s="38">
        <v>395.2</v>
      </c>
      <c r="M176" s="38">
        <v>207.5</v>
      </c>
      <c r="N176" s="38">
        <v>0.33400809716599189</v>
      </c>
      <c r="O176" s="38">
        <v>0</v>
      </c>
      <c r="P176" s="141" t="s">
        <v>66</v>
      </c>
      <c r="R176" s="38"/>
      <c r="S176" s="38"/>
      <c r="T176" s="38"/>
      <c r="U176" s="38"/>
      <c r="V176" s="38"/>
      <c r="W176" s="38"/>
      <c r="X176" s="38"/>
    </row>
    <row r="177" spans="1:25" x14ac:dyDescent="0.35">
      <c r="A177" s="30" t="s">
        <v>119</v>
      </c>
      <c r="B177" s="30" t="s">
        <v>125</v>
      </c>
      <c r="D177" s="30" t="s">
        <v>121</v>
      </c>
      <c r="E177" s="30" t="s">
        <v>122</v>
      </c>
      <c r="F177" s="30" t="s">
        <v>11</v>
      </c>
      <c r="G177" s="38">
        <v>3604.2</v>
      </c>
      <c r="H177" s="38">
        <v>3168.2</v>
      </c>
      <c r="I177" s="38">
        <v>49.53</v>
      </c>
      <c r="J177" s="38">
        <v>57.4</v>
      </c>
      <c r="K177" s="38">
        <v>5</v>
      </c>
      <c r="L177" s="38">
        <v>71.739999999999995</v>
      </c>
      <c r="M177" s="38">
        <v>49.19</v>
      </c>
      <c r="N177" s="38"/>
      <c r="O177" s="38"/>
      <c r="P177" s="141" t="s">
        <v>66</v>
      </c>
      <c r="Q177" s="38">
        <v>3386.2</v>
      </c>
      <c r="R177" s="38"/>
      <c r="S177" s="38"/>
      <c r="T177" s="38"/>
      <c r="U177" s="38"/>
      <c r="V177" s="38"/>
      <c r="W177" s="38"/>
      <c r="X177" s="38"/>
    </row>
    <row r="178" spans="1:25" s="163" customFormat="1" x14ac:dyDescent="0.35">
      <c r="A178" s="30" t="s">
        <v>119</v>
      </c>
      <c r="B178" s="30" t="s">
        <v>125</v>
      </c>
      <c r="C178" s="30"/>
      <c r="D178" s="30" t="s">
        <v>121</v>
      </c>
      <c r="E178" s="30" t="s">
        <v>122</v>
      </c>
      <c r="F178" s="30" t="s">
        <v>11</v>
      </c>
      <c r="G178" s="38">
        <v>10604</v>
      </c>
      <c r="H178" s="38">
        <v>6703</v>
      </c>
      <c r="I178" s="38">
        <v>56.999999999999993</v>
      </c>
      <c r="J178" s="38">
        <v>61.4</v>
      </c>
      <c r="K178" s="38">
        <v>40</v>
      </c>
      <c r="L178" s="30"/>
      <c r="M178" s="30"/>
      <c r="N178" s="38"/>
      <c r="O178" s="38"/>
      <c r="P178" s="141" t="s">
        <v>66</v>
      </c>
      <c r="Q178" s="30"/>
      <c r="R178" s="38"/>
      <c r="S178" s="38"/>
      <c r="T178" s="38"/>
      <c r="U178" s="38"/>
      <c r="V178" s="38"/>
      <c r="W178" s="38"/>
      <c r="X178" s="38"/>
      <c r="Y178" s="30"/>
    </row>
    <row r="179" spans="1:25" s="163" customFormat="1" x14ac:dyDescent="0.35">
      <c r="A179" s="30" t="s">
        <v>119</v>
      </c>
      <c r="B179" s="30" t="s">
        <v>125</v>
      </c>
      <c r="C179" s="30">
        <v>2287467</v>
      </c>
      <c r="D179" s="30" t="s">
        <v>121</v>
      </c>
      <c r="E179" s="30" t="s">
        <v>122</v>
      </c>
      <c r="F179" s="30" t="s">
        <v>11</v>
      </c>
      <c r="G179" s="38">
        <v>5456</v>
      </c>
      <c r="H179" s="38">
        <v>5950</v>
      </c>
      <c r="I179" s="38">
        <v>47</v>
      </c>
      <c r="J179" s="38">
        <v>59</v>
      </c>
      <c r="K179" s="38">
        <v>14</v>
      </c>
      <c r="L179" s="38">
        <v>249.8</v>
      </c>
      <c r="M179" s="38">
        <v>141.69999999999999</v>
      </c>
      <c r="N179" s="38">
        <v>0.39071257005604476</v>
      </c>
      <c r="O179" s="38">
        <v>0.54234297812279464</v>
      </c>
      <c r="P179" s="141" t="s">
        <v>65</v>
      </c>
      <c r="Q179" s="38">
        <v>6767</v>
      </c>
      <c r="R179" s="38"/>
      <c r="S179" s="38"/>
      <c r="T179" s="38"/>
      <c r="U179" s="38"/>
      <c r="V179" s="38"/>
      <c r="W179" s="38"/>
      <c r="X179" s="38"/>
      <c r="Y179" s="30"/>
    </row>
    <row r="180" spans="1:25" s="14" customFormat="1" x14ac:dyDescent="0.35">
      <c r="A180" s="30" t="s">
        <v>119</v>
      </c>
      <c r="B180" s="30" t="s">
        <v>125</v>
      </c>
      <c r="C180" s="30">
        <v>2287466</v>
      </c>
      <c r="D180" s="30" t="s">
        <v>121</v>
      </c>
      <c r="E180" s="30" t="s">
        <v>122</v>
      </c>
      <c r="F180" s="30" t="s">
        <v>11</v>
      </c>
      <c r="G180" s="38">
        <v>9723</v>
      </c>
      <c r="H180" s="38">
        <v>10430</v>
      </c>
      <c r="I180" s="38">
        <v>50</v>
      </c>
      <c r="J180" s="38">
        <v>63</v>
      </c>
      <c r="K180" s="38">
        <v>40</v>
      </c>
      <c r="L180" s="38">
        <v>324.60000000000002</v>
      </c>
      <c r="M180" s="38">
        <v>402.2</v>
      </c>
      <c r="N180" s="38">
        <v>0.22427603203943311</v>
      </c>
      <c r="O180" s="38">
        <v>7.2103431128791654E-3</v>
      </c>
      <c r="P180" s="141" t="s">
        <v>65</v>
      </c>
      <c r="Q180" s="38">
        <v>16117</v>
      </c>
      <c r="R180" s="38"/>
      <c r="S180" s="38"/>
      <c r="T180" s="38"/>
      <c r="U180" s="38"/>
      <c r="V180" s="38"/>
      <c r="W180" s="38"/>
      <c r="X180" s="38"/>
      <c r="Y180" s="30"/>
    </row>
    <row r="181" spans="1:25" s="14" customFormat="1" x14ac:dyDescent="0.35">
      <c r="A181" s="30" t="s">
        <v>119</v>
      </c>
      <c r="B181" s="30" t="s">
        <v>125</v>
      </c>
      <c r="C181" s="30"/>
      <c r="D181" s="30" t="s">
        <v>121</v>
      </c>
      <c r="E181" s="30" t="s">
        <v>122</v>
      </c>
      <c r="F181" s="30" t="s">
        <v>11</v>
      </c>
      <c r="G181" s="38">
        <v>3298</v>
      </c>
      <c r="H181" s="38">
        <v>6964</v>
      </c>
      <c r="I181" s="38">
        <v>51</v>
      </c>
      <c r="J181" s="38">
        <v>61</v>
      </c>
      <c r="K181" s="38">
        <v>22</v>
      </c>
      <c r="L181" s="38">
        <v>261</v>
      </c>
      <c r="M181" s="38">
        <v>225</v>
      </c>
      <c r="N181" s="38"/>
      <c r="O181" s="38"/>
      <c r="P181" s="141" t="s">
        <v>65</v>
      </c>
      <c r="Q181" s="38">
        <v>8682</v>
      </c>
      <c r="R181" s="38"/>
      <c r="S181" s="38"/>
      <c r="T181" s="38"/>
      <c r="U181" s="38"/>
      <c r="V181" s="38"/>
      <c r="W181" s="38"/>
      <c r="X181" s="38"/>
      <c r="Y181" s="30"/>
    </row>
    <row r="182" spans="1:25" s="14" customFormat="1" x14ac:dyDescent="0.35">
      <c r="A182" s="30" t="s">
        <v>119</v>
      </c>
      <c r="B182" s="30" t="s">
        <v>125</v>
      </c>
      <c r="C182" s="30"/>
      <c r="D182" s="30" t="s">
        <v>121</v>
      </c>
      <c r="E182" s="30" t="s">
        <v>122</v>
      </c>
      <c r="F182" s="30" t="s">
        <v>11</v>
      </c>
      <c r="G182" s="38">
        <v>9530</v>
      </c>
      <c r="H182" s="38">
        <v>7930</v>
      </c>
      <c r="I182" s="38">
        <v>40</v>
      </c>
      <c r="J182" s="38">
        <v>49</v>
      </c>
      <c r="K182" s="38">
        <v>14</v>
      </c>
      <c r="L182" s="38">
        <v>198</v>
      </c>
      <c r="M182" s="38">
        <v>133</v>
      </c>
      <c r="N182" s="38"/>
      <c r="O182" s="38"/>
      <c r="P182" s="141" t="s">
        <v>65</v>
      </c>
      <c r="Q182" s="38">
        <v>8100</v>
      </c>
      <c r="R182" s="38"/>
      <c r="S182" s="38"/>
      <c r="T182" s="38"/>
      <c r="U182" s="38"/>
      <c r="V182" s="38"/>
      <c r="W182" s="38"/>
      <c r="X182" s="38"/>
      <c r="Y182" s="30"/>
    </row>
    <row r="183" spans="1:25" s="14" customFormat="1" x14ac:dyDescent="0.35">
      <c r="A183" s="30" t="s">
        <v>119</v>
      </c>
      <c r="B183" s="30" t="s">
        <v>125</v>
      </c>
      <c r="C183" s="30">
        <v>2332634</v>
      </c>
      <c r="D183" s="30" t="s">
        <v>121</v>
      </c>
      <c r="E183" s="30" t="s">
        <v>122</v>
      </c>
      <c r="F183" s="30" t="s">
        <v>11</v>
      </c>
      <c r="G183" s="38">
        <v>7334</v>
      </c>
      <c r="H183" s="38">
        <v>6550</v>
      </c>
      <c r="I183" s="38">
        <v>54</v>
      </c>
      <c r="J183" s="38">
        <v>60</v>
      </c>
      <c r="K183" s="38">
        <v>16</v>
      </c>
      <c r="L183" s="38">
        <v>191.4</v>
      </c>
      <c r="M183" s="38">
        <v>144.5</v>
      </c>
      <c r="N183" s="38">
        <v>0.15464994775339605</v>
      </c>
      <c r="O183" s="38">
        <v>0.10034602076124567</v>
      </c>
      <c r="P183" s="141" t="s">
        <v>65</v>
      </c>
      <c r="Q183" s="38">
        <v>7387</v>
      </c>
      <c r="R183" s="38"/>
      <c r="S183" s="38"/>
      <c r="T183" s="38"/>
      <c r="U183" s="38"/>
      <c r="V183" s="38"/>
      <c r="W183" s="38"/>
      <c r="X183" s="38"/>
      <c r="Y183" s="30"/>
    </row>
    <row r="184" spans="1:25" s="14" customFormat="1" x14ac:dyDescent="0.35">
      <c r="A184" s="30" t="s">
        <v>119</v>
      </c>
      <c r="B184" s="30" t="s">
        <v>125</v>
      </c>
      <c r="C184" s="30">
        <v>2332635</v>
      </c>
      <c r="D184" s="30" t="s">
        <v>121</v>
      </c>
      <c r="E184" s="30" t="s">
        <v>122</v>
      </c>
      <c r="F184" s="30" t="s">
        <v>11</v>
      </c>
      <c r="G184" s="38">
        <v>8696</v>
      </c>
      <c r="H184" s="38">
        <v>7693</v>
      </c>
      <c r="I184" s="38">
        <v>55</v>
      </c>
      <c r="J184" s="38">
        <v>63</v>
      </c>
      <c r="K184" s="38">
        <v>24</v>
      </c>
      <c r="L184" s="38">
        <v>222.9</v>
      </c>
      <c r="M184" s="38">
        <v>215.9</v>
      </c>
      <c r="N184" s="38">
        <v>9.3315388066397498E-2</v>
      </c>
      <c r="O184" s="38">
        <v>6.04446503010653E-2</v>
      </c>
      <c r="P184" s="141" t="s">
        <v>65</v>
      </c>
      <c r="Q184" s="38">
        <v>9304</v>
      </c>
      <c r="R184" s="38"/>
      <c r="S184" s="38"/>
      <c r="T184" s="38"/>
      <c r="U184" s="38"/>
      <c r="V184" s="38"/>
      <c r="W184" s="38"/>
      <c r="X184" s="38"/>
      <c r="Y184" s="30"/>
    </row>
    <row r="185" spans="1:25" s="14" customFormat="1" x14ac:dyDescent="0.35">
      <c r="A185" s="30" t="s">
        <v>119</v>
      </c>
      <c r="B185" s="30" t="s">
        <v>125</v>
      </c>
      <c r="C185" s="30">
        <v>2330387</v>
      </c>
      <c r="D185" s="30" t="s">
        <v>121</v>
      </c>
      <c r="E185" s="30" t="s">
        <v>122</v>
      </c>
      <c r="F185" s="30" t="s">
        <v>11</v>
      </c>
      <c r="G185" s="38">
        <v>13236</v>
      </c>
      <c r="H185" s="38">
        <v>11087</v>
      </c>
      <c r="I185" s="38">
        <v>59</v>
      </c>
      <c r="J185" s="38">
        <v>63</v>
      </c>
      <c r="K185" s="38">
        <v>40</v>
      </c>
      <c r="L185" s="38">
        <v>500.9</v>
      </c>
      <c r="M185" s="38">
        <v>369.3</v>
      </c>
      <c r="N185" s="38">
        <v>9.2633260131762832E-2</v>
      </c>
      <c r="O185" s="38">
        <v>4.9079339290549688E-2</v>
      </c>
      <c r="P185" s="141" t="s">
        <v>65</v>
      </c>
      <c r="Q185" s="38">
        <v>21330</v>
      </c>
      <c r="R185" s="38"/>
      <c r="S185" s="38"/>
      <c r="T185" s="38"/>
      <c r="U185" s="38"/>
      <c r="V185" s="38"/>
      <c r="W185" s="38"/>
      <c r="X185" s="38"/>
      <c r="Y185" s="30"/>
    </row>
    <row r="186" spans="1:25" s="14" customFormat="1" x14ac:dyDescent="0.35">
      <c r="A186" s="30" t="s">
        <v>119</v>
      </c>
      <c r="B186" s="30" t="s">
        <v>125</v>
      </c>
      <c r="C186" s="30"/>
      <c r="D186" s="30" t="s">
        <v>121</v>
      </c>
      <c r="E186" s="30" t="s">
        <v>122</v>
      </c>
      <c r="F186" s="30" t="s">
        <v>11</v>
      </c>
      <c r="G186" s="38">
        <v>5324</v>
      </c>
      <c r="H186" s="38">
        <v>6706</v>
      </c>
      <c r="I186" s="38">
        <v>45</v>
      </c>
      <c r="J186" s="38">
        <v>64</v>
      </c>
      <c r="K186" s="38">
        <v>20</v>
      </c>
      <c r="L186" s="38">
        <v>170</v>
      </c>
      <c r="M186" s="38">
        <v>168</v>
      </c>
      <c r="N186" s="38"/>
      <c r="O186" s="38"/>
      <c r="P186" s="141" t="s">
        <v>65</v>
      </c>
      <c r="Q186" s="38">
        <v>10670</v>
      </c>
      <c r="R186" s="38"/>
      <c r="S186" s="38"/>
      <c r="T186" s="38"/>
      <c r="U186" s="38"/>
      <c r="V186" s="38"/>
      <c r="W186" s="38"/>
      <c r="X186" s="38"/>
      <c r="Y186" s="30"/>
    </row>
    <row r="187" spans="1:25" s="14" customFormat="1" x14ac:dyDescent="0.35">
      <c r="A187" s="30" t="s">
        <v>119</v>
      </c>
      <c r="B187" s="30" t="s">
        <v>125</v>
      </c>
      <c r="C187" s="30"/>
      <c r="D187" s="30" t="s">
        <v>121</v>
      </c>
      <c r="E187" s="30" t="s">
        <v>122</v>
      </c>
      <c r="F187" s="30" t="s">
        <v>11</v>
      </c>
      <c r="G187" s="38">
        <v>17254</v>
      </c>
      <c r="H187" s="38">
        <v>6717</v>
      </c>
      <c r="I187" s="38">
        <v>42</v>
      </c>
      <c r="J187" s="38">
        <v>60</v>
      </c>
      <c r="K187" s="38">
        <v>20</v>
      </c>
      <c r="L187" s="38">
        <v>148</v>
      </c>
      <c r="M187" s="38">
        <v>181</v>
      </c>
      <c r="N187" s="38"/>
      <c r="O187" s="38"/>
      <c r="P187" s="141" t="s">
        <v>65</v>
      </c>
      <c r="Q187" s="38">
        <v>7042</v>
      </c>
      <c r="R187" s="38"/>
      <c r="S187" s="38"/>
      <c r="T187" s="38"/>
      <c r="U187" s="38"/>
      <c r="V187" s="38"/>
      <c r="W187" s="38"/>
      <c r="X187" s="38"/>
      <c r="Y187" s="30"/>
    </row>
    <row r="188" spans="1:25" s="14" customFormat="1" x14ac:dyDescent="0.35">
      <c r="A188" s="30" t="s">
        <v>119</v>
      </c>
      <c r="B188" s="30" t="s">
        <v>125</v>
      </c>
      <c r="C188" s="30"/>
      <c r="D188" s="30" t="s">
        <v>121</v>
      </c>
      <c r="E188" s="30" t="s">
        <v>123</v>
      </c>
      <c r="F188" s="30" t="s">
        <v>11</v>
      </c>
      <c r="G188" s="38">
        <v>13431</v>
      </c>
      <c r="H188" s="38">
        <v>4212</v>
      </c>
      <c r="I188" s="38">
        <v>50</v>
      </c>
      <c r="J188" s="38">
        <v>59</v>
      </c>
      <c r="K188" s="38">
        <v>10</v>
      </c>
      <c r="L188" s="38">
        <v>144</v>
      </c>
      <c r="M188" s="38">
        <v>114</v>
      </c>
      <c r="N188" s="38"/>
      <c r="O188" s="38"/>
      <c r="P188" s="141" t="s">
        <v>65</v>
      </c>
      <c r="Q188" s="38">
        <v>6621</v>
      </c>
      <c r="R188" s="38"/>
      <c r="S188" s="38"/>
      <c r="T188" s="38"/>
      <c r="U188" s="38"/>
      <c r="V188" s="38"/>
      <c r="W188" s="38"/>
      <c r="X188" s="38"/>
      <c r="Y188" s="30"/>
    </row>
    <row r="189" spans="1:25" s="14" customFormat="1" x14ac:dyDescent="0.35">
      <c r="A189" s="30" t="s">
        <v>119</v>
      </c>
      <c r="B189" s="30" t="s">
        <v>125</v>
      </c>
      <c r="C189" s="30"/>
      <c r="D189" s="30" t="s">
        <v>121</v>
      </c>
      <c r="E189" s="30" t="s">
        <v>122</v>
      </c>
      <c r="F189" s="30" t="s">
        <v>11</v>
      </c>
      <c r="G189" s="38">
        <v>4144</v>
      </c>
      <c r="H189" s="38">
        <v>12007</v>
      </c>
      <c r="I189" s="38">
        <v>29.2</v>
      </c>
      <c r="J189" s="38">
        <v>47</v>
      </c>
      <c r="K189" s="38">
        <v>14</v>
      </c>
      <c r="L189" s="38">
        <v>215</v>
      </c>
      <c r="M189" s="38">
        <v>114</v>
      </c>
      <c r="N189" s="38"/>
      <c r="O189" s="38"/>
      <c r="P189" s="141" t="s">
        <v>65</v>
      </c>
      <c r="Q189" s="30"/>
      <c r="R189" s="38"/>
      <c r="S189" s="38"/>
      <c r="T189" s="38"/>
      <c r="U189" s="38"/>
      <c r="V189" s="38"/>
      <c r="W189" s="38"/>
      <c r="X189" s="38"/>
      <c r="Y189" s="30"/>
    </row>
    <row r="190" spans="1:25" s="14" customFormat="1" x14ac:dyDescent="0.35">
      <c r="A190" s="30" t="s">
        <v>119</v>
      </c>
      <c r="B190" s="30" t="s">
        <v>125</v>
      </c>
      <c r="C190" s="30">
        <v>2279893</v>
      </c>
      <c r="D190" s="30" t="s">
        <v>121</v>
      </c>
      <c r="E190" s="30" t="s">
        <v>122</v>
      </c>
      <c r="F190" s="30" t="s">
        <v>11</v>
      </c>
      <c r="G190" s="38">
        <v>7066</v>
      </c>
      <c r="H190" s="38">
        <v>7127</v>
      </c>
      <c r="I190" s="38">
        <v>58</v>
      </c>
      <c r="J190" s="38">
        <v>63</v>
      </c>
      <c r="K190" s="38">
        <v>22</v>
      </c>
      <c r="L190" s="38">
        <v>298.8</v>
      </c>
      <c r="M190" s="38">
        <v>227.3</v>
      </c>
      <c r="N190" s="38">
        <v>4.5515394912985271E-2</v>
      </c>
      <c r="O190" s="38">
        <v>0</v>
      </c>
      <c r="P190" s="141" t="s">
        <v>65</v>
      </c>
      <c r="Q190" s="38">
        <v>7559</v>
      </c>
      <c r="R190" s="38"/>
      <c r="S190" s="38"/>
      <c r="T190" s="38"/>
      <c r="U190" s="38"/>
      <c r="V190" s="38"/>
      <c r="W190" s="38"/>
      <c r="X190" s="38"/>
      <c r="Y190" s="30"/>
    </row>
    <row r="191" spans="1:25" s="14" customFormat="1" x14ac:dyDescent="0.35">
      <c r="A191" s="30" t="s">
        <v>119</v>
      </c>
      <c r="B191" s="30" t="s">
        <v>125</v>
      </c>
      <c r="C191" s="30">
        <v>2238458</v>
      </c>
      <c r="D191" s="30" t="s">
        <v>121</v>
      </c>
      <c r="E191" s="30" t="s">
        <v>122</v>
      </c>
      <c r="F191" s="30" t="s">
        <v>11</v>
      </c>
      <c r="G191" s="38">
        <v>11927</v>
      </c>
      <c r="H191" s="38">
        <v>10270</v>
      </c>
      <c r="I191" s="38">
        <v>49</v>
      </c>
      <c r="J191" s="38">
        <v>61</v>
      </c>
      <c r="K191" s="38">
        <v>40</v>
      </c>
      <c r="L191" s="38">
        <v>352.5</v>
      </c>
      <c r="M191" s="38">
        <v>391.2</v>
      </c>
      <c r="N191" s="38">
        <v>0.21787234042553191</v>
      </c>
      <c r="O191" s="38">
        <v>6.1157975460122693E-2</v>
      </c>
      <c r="P191" s="141" t="s">
        <v>65</v>
      </c>
      <c r="Q191" s="38">
        <v>13996</v>
      </c>
      <c r="R191" s="38"/>
      <c r="S191" s="38"/>
      <c r="T191" s="38"/>
      <c r="U191" s="38"/>
      <c r="V191" s="38"/>
      <c r="W191" s="38"/>
      <c r="X191" s="38"/>
      <c r="Y191" s="30"/>
    </row>
    <row r="192" spans="1:25" s="14" customFormat="1" x14ac:dyDescent="0.35">
      <c r="A192" s="30" t="s">
        <v>119</v>
      </c>
      <c r="B192" s="30" t="s">
        <v>125</v>
      </c>
      <c r="C192" s="30"/>
      <c r="D192" s="30" t="s">
        <v>121</v>
      </c>
      <c r="E192" s="30" t="s">
        <v>122</v>
      </c>
      <c r="F192" s="30" t="s">
        <v>11</v>
      </c>
      <c r="G192" s="38">
        <v>12123</v>
      </c>
      <c r="H192" s="38">
        <v>5144</v>
      </c>
      <c r="I192" s="38">
        <v>44</v>
      </c>
      <c r="J192" s="38">
        <v>60</v>
      </c>
      <c r="K192" s="38">
        <v>14</v>
      </c>
      <c r="L192" s="38">
        <v>198</v>
      </c>
      <c r="M192" s="38">
        <v>150</v>
      </c>
      <c r="N192" s="38"/>
      <c r="O192" s="38"/>
      <c r="P192" s="141" t="s">
        <v>65</v>
      </c>
      <c r="Q192" s="38">
        <v>6509</v>
      </c>
      <c r="R192" s="38"/>
      <c r="S192" s="38"/>
      <c r="T192" s="38"/>
      <c r="U192" s="38"/>
      <c r="V192" s="38"/>
      <c r="W192" s="38"/>
      <c r="X192" s="38"/>
      <c r="Y192" s="30"/>
    </row>
    <row r="193" spans="1:25" s="14" customFormat="1" x14ac:dyDescent="0.35">
      <c r="A193" s="30" t="s">
        <v>119</v>
      </c>
      <c r="B193" s="30" t="s">
        <v>125</v>
      </c>
      <c r="C193" s="30"/>
      <c r="D193" s="30" t="s">
        <v>121</v>
      </c>
      <c r="E193" s="30" t="s">
        <v>122</v>
      </c>
      <c r="F193" s="30" t="s">
        <v>11</v>
      </c>
      <c r="G193" s="38">
        <v>7370</v>
      </c>
      <c r="H193" s="38">
        <v>7100</v>
      </c>
      <c r="I193" s="38">
        <v>47</v>
      </c>
      <c r="J193" s="38">
        <v>61</v>
      </c>
      <c r="K193" s="38">
        <v>22</v>
      </c>
      <c r="L193" s="38">
        <v>277</v>
      </c>
      <c r="M193" s="38">
        <v>210</v>
      </c>
      <c r="N193" s="38"/>
      <c r="O193" s="38"/>
      <c r="P193" s="141" t="s">
        <v>65</v>
      </c>
      <c r="Q193" s="38">
        <v>8540</v>
      </c>
      <c r="R193" s="38"/>
      <c r="S193" s="38"/>
      <c r="T193" s="38"/>
      <c r="U193" s="38"/>
      <c r="V193" s="38"/>
      <c r="W193" s="38"/>
      <c r="X193" s="38"/>
      <c r="Y193" s="30"/>
    </row>
    <row r="194" spans="1:25" s="14" customFormat="1" x14ac:dyDescent="0.35">
      <c r="A194" s="30" t="s">
        <v>119</v>
      </c>
      <c r="B194" s="30" t="s">
        <v>125</v>
      </c>
      <c r="C194" s="30">
        <v>2349741</v>
      </c>
      <c r="D194" s="30" t="s">
        <v>121</v>
      </c>
      <c r="E194" s="30" t="s">
        <v>122</v>
      </c>
      <c r="F194" s="30" t="s">
        <v>11</v>
      </c>
      <c r="G194" s="38">
        <v>7828</v>
      </c>
      <c r="H194" s="38">
        <v>4480</v>
      </c>
      <c r="I194" s="38">
        <v>43</v>
      </c>
      <c r="J194" s="38">
        <v>60</v>
      </c>
      <c r="K194" s="38">
        <v>6</v>
      </c>
      <c r="L194" s="38">
        <v>213.92</v>
      </c>
      <c r="M194" s="38">
        <v>120.12</v>
      </c>
      <c r="N194" s="38">
        <v>0.14210919970082272</v>
      </c>
      <c r="O194" s="38">
        <v>0</v>
      </c>
      <c r="P194" s="141" t="s">
        <v>65</v>
      </c>
      <c r="Q194" s="30"/>
      <c r="R194" s="38"/>
      <c r="S194" s="38"/>
      <c r="T194" s="38"/>
      <c r="U194" s="38"/>
      <c r="V194" s="38"/>
      <c r="W194" s="38"/>
      <c r="X194" s="38"/>
      <c r="Y194" s="30"/>
    </row>
    <row r="195" spans="1:25" s="14" customFormat="1" x14ac:dyDescent="0.35">
      <c r="A195" s="30" t="s">
        <v>119</v>
      </c>
      <c r="B195" s="30" t="s">
        <v>125</v>
      </c>
      <c r="C195" s="30">
        <v>2349742</v>
      </c>
      <c r="D195" s="30" t="s">
        <v>121</v>
      </c>
      <c r="E195" s="30" t="s">
        <v>122</v>
      </c>
      <c r="F195" s="30" t="s">
        <v>11</v>
      </c>
      <c r="G195" s="38">
        <v>9888</v>
      </c>
      <c r="H195" s="38">
        <v>6154</v>
      </c>
      <c r="I195" s="38">
        <v>47</v>
      </c>
      <c r="J195" s="38">
        <v>58</v>
      </c>
      <c r="K195" s="38">
        <v>10</v>
      </c>
      <c r="L195" s="38">
        <v>319.24</v>
      </c>
      <c r="M195" s="38">
        <v>190.87</v>
      </c>
      <c r="N195" s="38">
        <v>0.13782733993233934</v>
      </c>
      <c r="O195" s="38">
        <v>0</v>
      </c>
      <c r="P195" s="141" t="s">
        <v>65</v>
      </c>
      <c r="Q195" s="30"/>
      <c r="R195" s="38"/>
      <c r="S195" s="38"/>
      <c r="T195" s="38"/>
      <c r="U195" s="38"/>
      <c r="V195" s="38"/>
      <c r="W195" s="38"/>
      <c r="X195" s="38"/>
      <c r="Y195" s="30"/>
    </row>
    <row r="196" spans="1:25" s="14" customFormat="1" x14ac:dyDescent="0.35">
      <c r="A196" s="30" t="s">
        <v>119</v>
      </c>
      <c r="B196" s="30" t="s">
        <v>125</v>
      </c>
      <c r="C196" s="30"/>
      <c r="D196" s="30" t="s">
        <v>121</v>
      </c>
      <c r="E196" s="30" t="s">
        <v>123</v>
      </c>
      <c r="F196" s="30" t="s">
        <v>11</v>
      </c>
      <c r="G196" s="38">
        <v>11752</v>
      </c>
      <c r="H196" s="38">
        <v>7175</v>
      </c>
      <c r="I196" s="38">
        <v>48</v>
      </c>
      <c r="J196" s="38">
        <v>55</v>
      </c>
      <c r="K196" s="38">
        <v>12</v>
      </c>
      <c r="L196" s="38">
        <v>160</v>
      </c>
      <c r="M196" s="38">
        <v>132</v>
      </c>
      <c r="N196" s="38"/>
      <c r="O196" s="38"/>
      <c r="P196" s="141" t="s">
        <v>65</v>
      </c>
      <c r="Q196" s="38">
        <v>4356</v>
      </c>
      <c r="R196" s="38"/>
      <c r="S196" s="38"/>
      <c r="T196" s="38"/>
      <c r="U196" s="38"/>
      <c r="V196" s="38"/>
      <c r="W196" s="38"/>
      <c r="X196" s="38"/>
      <c r="Y196" s="30"/>
    </row>
    <row r="197" spans="1:25" s="14" customFormat="1" x14ac:dyDescent="0.35">
      <c r="A197" s="30" t="s">
        <v>119</v>
      </c>
      <c r="B197" s="30" t="s">
        <v>125</v>
      </c>
      <c r="C197" s="30"/>
      <c r="D197" s="30" t="s">
        <v>121</v>
      </c>
      <c r="E197" s="30" t="s">
        <v>123</v>
      </c>
      <c r="F197" s="30" t="s">
        <v>11</v>
      </c>
      <c r="G197" s="38">
        <v>13317</v>
      </c>
      <c r="H197" s="38">
        <v>8000</v>
      </c>
      <c r="I197" s="38">
        <v>51</v>
      </c>
      <c r="J197" s="38">
        <v>60</v>
      </c>
      <c r="K197" s="38">
        <v>10</v>
      </c>
      <c r="L197" s="38">
        <v>189</v>
      </c>
      <c r="M197" s="38">
        <v>103</v>
      </c>
      <c r="N197" s="38"/>
      <c r="O197" s="38"/>
      <c r="P197" s="141" t="s">
        <v>65</v>
      </c>
      <c r="Q197" s="38">
        <v>5396</v>
      </c>
      <c r="R197" s="38"/>
      <c r="S197" s="38"/>
      <c r="T197" s="38"/>
      <c r="U197" s="38"/>
      <c r="V197" s="38"/>
      <c r="W197" s="38"/>
      <c r="X197" s="38"/>
      <c r="Y197" s="30"/>
    </row>
    <row r="198" spans="1:25" s="14" customFormat="1" x14ac:dyDescent="0.35">
      <c r="A198" s="30" t="s">
        <v>119</v>
      </c>
      <c r="B198" s="30" t="s">
        <v>125</v>
      </c>
      <c r="C198" s="30"/>
      <c r="D198" s="30" t="s">
        <v>121</v>
      </c>
      <c r="E198" s="30" t="s">
        <v>123</v>
      </c>
      <c r="F198" s="30" t="s">
        <v>11</v>
      </c>
      <c r="G198" s="38">
        <v>9515</v>
      </c>
      <c r="H198" s="38">
        <v>5077</v>
      </c>
      <c r="I198" s="38">
        <v>48</v>
      </c>
      <c r="J198" s="38">
        <v>57</v>
      </c>
      <c r="K198" s="38">
        <v>6</v>
      </c>
      <c r="L198" s="38">
        <v>119</v>
      </c>
      <c r="M198" s="38">
        <v>66</v>
      </c>
      <c r="N198" s="38"/>
      <c r="O198" s="38"/>
      <c r="P198" s="141" t="s">
        <v>65</v>
      </c>
      <c r="Q198" s="38">
        <v>3763</v>
      </c>
      <c r="R198" s="38"/>
      <c r="S198" s="38"/>
      <c r="T198" s="38"/>
      <c r="U198" s="38"/>
      <c r="V198" s="38"/>
      <c r="W198" s="38"/>
      <c r="X198" s="38"/>
      <c r="Y198" s="30"/>
    </row>
    <row r="199" spans="1:25" s="14" customFormat="1" x14ac:dyDescent="0.35">
      <c r="A199" s="30" t="s">
        <v>119</v>
      </c>
      <c r="B199" s="30" t="s">
        <v>125</v>
      </c>
      <c r="C199" s="30"/>
      <c r="D199" s="30" t="s">
        <v>121</v>
      </c>
      <c r="E199" s="30" t="s">
        <v>123</v>
      </c>
      <c r="F199" s="30" t="s">
        <v>11</v>
      </c>
      <c r="G199" s="38">
        <v>7455</v>
      </c>
      <c r="H199" s="38">
        <v>4481</v>
      </c>
      <c r="I199" s="38">
        <v>44</v>
      </c>
      <c r="J199" s="38">
        <v>52</v>
      </c>
      <c r="K199" s="38">
        <v>6</v>
      </c>
      <c r="L199" s="38">
        <v>78</v>
      </c>
      <c r="M199" s="38">
        <v>60</v>
      </c>
      <c r="N199" s="38"/>
      <c r="O199" s="38"/>
      <c r="P199" s="141" t="s">
        <v>65</v>
      </c>
      <c r="Q199" s="38">
        <v>3655</v>
      </c>
      <c r="R199" s="38"/>
      <c r="S199" s="38"/>
      <c r="T199" s="38"/>
      <c r="U199" s="38"/>
      <c r="V199" s="38"/>
      <c r="W199" s="38"/>
      <c r="X199" s="38"/>
      <c r="Y199" s="30"/>
    </row>
    <row r="200" spans="1:25" s="14" customFormat="1" x14ac:dyDescent="0.35">
      <c r="A200" s="30" t="s">
        <v>119</v>
      </c>
      <c r="B200" s="30" t="s">
        <v>125</v>
      </c>
      <c r="C200" s="30"/>
      <c r="D200" s="30" t="s">
        <v>121</v>
      </c>
      <c r="E200" s="30" t="s">
        <v>123</v>
      </c>
      <c r="F200" s="30" t="s">
        <v>11</v>
      </c>
      <c r="G200" s="38">
        <v>8467</v>
      </c>
      <c r="H200" s="38">
        <v>5531</v>
      </c>
      <c r="I200" s="38">
        <v>46</v>
      </c>
      <c r="J200" s="38">
        <v>57</v>
      </c>
      <c r="K200" s="38">
        <v>10</v>
      </c>
      <c r="L200" s="38">
        <v>140</v>
      </c>
      <c r="M200" s="38">
        <v>90</v>
      </c>
      <c r="N200" s="38"/>
      <c r="O200" s="38"/>
      <c r="P200" s="141" t="s">
        <v>65</v>
      </c>
      <c r="Q200" s="38">
        <v>5234</v>
      </c>
      <c r="R200" s="38"/>
      <c r="S200" s="38"/>
      <c r="T200" s="38"/>
      <c r="U200" s="38"/>
      <c r="V200" s="38"/>
      <c r="W200" s="38"/>
      <c r="X200" s="38"/>
      <c r="Y200" s="30"/>
    </row>
    <row r="201" spans="1:25" s="14" customFormat="1" x14ac:dyDescent="0.35">
      <c r="A201" s="30" t="s">
        <v>119</v>
      </c>
      <c r="B201" s="30" t="s">
        <v>125</v>
      </c>
      <c r="C201" s="30">
        <v>2294238</v>
      </c>
      <c r="D201" s="30" t="s">
        <v>121</v>
      </c>
      <c r="E201" s="30" t="s">
        <v>122</v>
      </c>
      <c r="F201" s="30" t="s">
        <v>11</v>
      </c>
      <c r="G201" s="38">
        <v>7531</v>
      </c>
      <c r="H201" s="38">
        <v>4650</v>
      </c>
      <c r="I201" s="38">
        <v>42</v>
      </c>
      <c r="J201" s="38">
        <v>56</v>
      </c>
      <c r="K201" s="38">
        <v>7</v>
      </c>
      <c r="L201" s="38">
        <v>106.9</v>
      </c>
      <c r="M201" s="38">
        <v>63.3</v>
      </c>
      <c r="N201" s="38">
        <v>0.35173058933582785</v>
      </c>
      <c r="O201" s="38">
        <v>0.29778830963665093</v>
      </c>
      <c r="P201" s="141" t="s">
        <v>65</v>
      </c>
      <c r="Q201" s="38">
        <v>3750</v>
      </c>
      <c r="R201" s="38"/>
      <c r="S201" s="38"/>
      <c r="T201" s="38"/>
      <c r="U201" s="38"/>
      <c r="V201" s="38"/>
      <c r="W201" s="38"/>
      <c r="X201" s="38"/>
      <c r="Y201" s="30"/>
    </row>
    <row r="202" spans="1:25" s="14" customFormat="1" x14ac:dyDescent="0.35">
      <c r="A202" s="30" t="s">
        <v>119</v>
      </c>
      <c r="B202" s="30" t="s">
        <v>125</v>
      </c>
      <c r="C202" s="30">
        <v>2346566</v>
      </c>
      <c r="D202" s="30" t="s">
        <v>121</v>
      </c>
      <c r="E202" s="30" t="s">
        <v>122</v>
      </c>
      <c r="F202" s="30" t="s">
        <v>11</v>
      </c>
      <c r="G202" s="38">
        <v>4861</v>
      </c>
      <c r="H202" s="38">
        <v>4650</v>
      </c>
      <c r="I202" s="38">
        <v>50</v>
      </c>
      <c r="J202" s="38">
        <v>56</v>
      </c>
      <c r="K202" s="38">
        <v>7</v>
      </c>
      <c r="L202" s="38">
        <v>93.2</v>
      </c>
      <c r="M202" s="38">
        <v>63.23</v>
      </c>
      <c r="N202" s="38">
        <v>8.5836909871244621E-2</v>
      </c>
      <c r="O202" s="38">
        <v>0.30155780483947497</v>
      </c>
      <c r="P202" s="141" t="s">
        <v>65</v>
      </c>
      <c r="Q202" s="38">
        <v>3750</v>
      </c>
      <c r="R202" s="38"/>
      <c r="S202" s="38"/>
      <c r="T202" s="38"/>
      <c r="U202" s="38"/>
      <c r="V202" s="38"/>
      <c r="W202" s="38"/>
      <c r="X202" s="38"/>
      <c r="Y202" s="30"/>
    </row>
    <row r="203" spans="1:25" s="14" customFormat="1" x14ac:dyDescent="0.35">
      <c r="A203" s="30" t="s">
        <v>119</v>
      </c>
      <c r="B203" s="30" t="s">
        <v>125</v>
      </c>
      <c r="C203" s="30">
        <v>2327325</v>
      </c>
      <c r="D203" s="30" t="s">
        <v>121</v>
      </c>
      <c r="E203" s="30" t="s">
        <v>122</v>
      </c>
      <c r="F203" s="30" t="s">
        <v>11</v>
      </c>
      <c r="G203" s="38">
        <v>6748</v>
      </c>
      <c r="H203" s="38">
        <v>5387</v>
      </c>
      <c r="I203" s="38">
        <v>44</v>
      </c>
      <c r="J203" s="38">
        <v>59</v>
      </c>
      <c r="K203" s="38">
        <v>10</v>
      </c>
      <c r="L203" s="38">
        <v>157.5</v>
      </c>
      <c r="M203" s="38">
        <v>95.3</v>
      </c>
      <c r="N203" s="38">
        <v>0.42158730158730162</v>
      </c>
      <c r="O203" s="38">
        <v>0</v>
      </c>
      <c r="P203" s="141" t="s">
        <v>65</v>
      </c>
      <c r="Q203" s="38">
        <v>5440</v>
      </c>
      <c r="R203" s="38"/>
      <c r="S203" s="38"/>
      <c r="T203" s="38"/>
      <c r="U203" s="38"/>
      <c r="V203" s="38"/>
      <c r="W203" s="38"/>
      <c r="X203" s="38"/>
      <c r="Y203" s="30"/>
    </row>
    <row r="204" spans="1:25" s="14" customFormat="1" x14ac:dyDescent="0.35">
      <c r="A204" s="30" t="s">
        <v>119</v>
      </c>
      <c r="B204" s="30" t="s">
        <v>125</v>
      </c>
      <c r="C204" s="30">
        <v>2327326</v>
      </c>
      <c r="D204" s="30" t="s">
        <v>121</v>
      </c>
      <c r="E204" s="30" t="s">
        <v>122</v>
      </c>
      <c r="F204" s="30" t="s">
        <v>11</v>
      </c>
      <c r="G204" s="38">
        <v>6421</v>
      </c>
      <c r="H204" s="38">
        <v>5387</v>
      </c>
      <c r="I204" s="38">
        <v>46</v>
      </c>
      <c r="J204" s="38">
        <v>59</v>
      </c>
      <c r="K204" s="38">
        <v>10</v>
      </c>
      <c r="L204" s="38">
        <v>106.9</v>
      </c>
      <c r="M204" s="38">
        <v>95.3</v>
      </c>
      <c r="N204" s="38">
        <v>0.44901777362020578</v>
      </c>
      <c r="O204" s="38">
        <v>0</v>
      </c>
      <c r="P204" s="141" t="s">
        <v>65</v>
      </c>
      <c r="Q204" s="38">
        <v>5440</v>
      </c>
      <c r="R204" s="38"/>
      <c r="S204" s="38"/>
      <c r="T204" s="38"/>
      <c r="U204" s="38"/>
      <c r="V204" s="38"/>
      <c r="W204" s="38"/>
      <c r="X204" s="38"/>
      <c r="Y204" s="30"/>
    </row>
    <row r="205" spans="1:25" s="14" customFormat="1" x14ac:dyDescent="0.35">
      <c r="A205" s="30" t="s">
        <v>119</v>
      </c>
      <c r="B205" s="30" t="s">
        <v>125</v>
      </c>
      <c r="C205" s="30">
        <v>2327464</v>
      </c>
      <c r="D205" s="30" t="s">
        <v>121</v>
      </c>
      <c r="E205" s="30" t="s">
        <v>122</v>
      </c>
      <c r="F205" s="30" t="s">
        <v>11</v>
      </c>
      <c r="G205" s="38">
        <v>7224</v>
      </c>
      <c r="H205" s="38">
        <v>5932</v>
      </c>
      <c r="I205" s="38">
        <v>46</v>
      </c>
      <c r="J205" s="38">
        <v>56</v>
      </c>
      <c r="K205" s="38">
        <v>14</v>
      </c>
      <c r="L205" s="38">
        <v>210.8</v>
      </c>
      <c r="M205" s="38">
        <v>135.1</v>
      </c>
      <c r="N205" s="38">
        <v>0.23529411764705882</v>
      </c>
      <c r="O205" s="38">
        <v>0.20392301998519613</v>
      </c>
      <c r="P205" s="141" t="s">
        <v>65</v>
      </c>
      <c r="Q205" s="38">
        <v>6538</v>
      </c>
      <c r="R205" s="38"/>
      <c r="S205" s="38"/>
      <c r="T205" s="38"/>
      <c r="U205" s="38"/>
      <c r="V205" s="38"/>
      <c r="W205" s="38"/>
      <c r="X205" s="38"/>
      <c r="Y205" s="30"/>
    </row>
    <row r="206" spans="1:25" s="14" customFormat="1" x14ac:dyDescent="0.35">
      <c r="A206" s="30" t="s">
        <v>119</v>
      </c>
      <c r="B206" s="30" t="s">
        <v>125</v>
      </c>
      <c r="C206" s="30">
        <v>2327322</v>
      </c>
      <c r="D206" s="30" t="s">
        <v>121</v>
      </c>
      <c r="E206" s="30" t="s">
        <v>122</v>
      </c>
      <c r="F206" s="30" t="s">
        <v>11</v>
      </c>
      <c r="G206" s="38">
        <v>7556</v>
      </c>
      <c r="H206" s="38">
        <v>5932</v>
      </c>
      <c r="I206" s="38">
        <v>46</v>
      </c>
      <c r="J206" s="38">
        <v>56</v>
      </c>
      <c r="K206" s="38">
        <v>14</v>
      </c>
      <c r="L206" s="38">
        <v>155.80000000000001</v>
      </c>
      <c r="M206" s="38">
        <v>135.1</v>
      </c>
      <c r="N206" s="38">
        <v>0.1797175866495507</v>
      </c>
      <c r="O206" s="38">
        <v>0.20392301998519613</v>
      </c>
      <c r="P206" s="141" t="s">
        <v>65</v>
      </c>
      <c r="Q206" s="38">
        <v>6538</v>
      </c>
      <c r="R206" s="38"/>
      <c r="S206" s="38"/>
      <c r="T206" s="38"/>
      <c r="U206" s="38"/>
      <c r="V206" s="38"/>
      <c r="W206" s="38"/>
      <c r="X206" s="38"/>
      <c r="Y206" s="30"/>
    </row>
    <row r="207" spans="1:25" s="14" customFormat="1" x14ac:dyDescent="0.35">
      <c r="A207" s="30" t="s">
        <v>119</v>
      </c>
      <c r="B207" s="30" t="s">
        <v>125</v>
      </c>
      <c r="C207" s="30">
        <v>2327338</v>
      </c>
      <c r="D207" s="30" t="s">
        <v>121</v>
      </c>
      <c r="E207" s="30" t="s">
        <v>122</v>
      </c>
      <c r="F207" s="30" t="s">
        <v>11</v>
      </c>
      <c r="G207" s="38">
        <v>6119</v>
      </c>
      <c r="H207" s="38">
        <v>7784</v>
      </c>
      <c r="I207" s="38">
        <v>45</v>
      </c>
      <c r="J207" s="38">
        <v>60</v>
      </c>
      <c r="K207" s="38">
        <v>20</v>
      </c>
      <c r="L207" s="38">
        <v>297</v>
      </c>
      <c r="M207" s="38">
        <v>220.4</v>
      </c>
      <c r="N207" s="38">
        <v>0.33131313131313128</v>
      </c>
      <c r="O207" s="38">
        <v>0.42434210526315785</v>
      </c>
      <c r="P207" s="141" t="s">
        <v>65</v>
      </c>
      <c r="Q207" s="38">
        <v>10516</v>
      </c>
      <c r="R207" s="38"/>
      <c r="S207" s="38"/>
      <c r="T207" s="38"/>
      <c r="U207" s="38"/>
      <c r="V207" s="38"/>
      <c r="W207" s="38"/>
      <c r="X207" s="38"/>
      <c r="Y207" s="30"/>
    </row>
    <row r="208" spans="1:25" s="14" customFormat="1" x14ac:dyDescent="0.35">
      <c r="A208" s="30" t="s">
        <v>119</v>
      </c>
      <c r="B208" s="30" t="s">
        <v>125</v>
      </c>
      <c r="C208" s="30">
        <v>2327339</v>
      </c>
      <c r="D208" s="30" t="s">
        <v>121</v>
      </c>
      <c r="E208" s="30" t="s">
        <v>122</v>
      </c>
      <c r="F208" s="30" t="s">
        <v>11</v>
      </c>
      <c r="G208" s="38">
        <v>7833</v>
      </c>
      <c r="H208" s="38">
        <v>7784</v>
      </c>
      <c r="I208" s="38">
        <v>54</v>
      </c>
      <c r="J208" s="38">
        <v>60</v>
      </c>
      <c r="K208" s="38">
        <v>20</v>
      </c>
      <c r="L208" s="38">
        <v>285.3</v>
      </c>
      <c r="M208" s="38">
        <v>220.4</v>
      </c>
      <c r="N208" s="38">
        <v>0.23273746933052927</v>
      </c>
      <c r="O208" s="38">
        <v>0.42434210526315785</v>
      </c>
      <c r="P208" s="141" t="s">
        <v>65</v>
      </c>
      <c r="Q208" s="38">
        <v>10516</v>
      </c>
      <c r="R208" s="38"/>
      <c r="S208" s="38"/>
      <c r="T208" s="38"/>
      <c r="U208" s="38"/>
      <c r="V208" s="38"/>
      <c r="W208" s="38"/>
      <c r="X208" s="38"/>
      <c r="Y208" s="30"/>
    </row>
    <row r="209" spans="1:25" s="14" customFormat="1" x14ac:dyDescent="0.35">
      <c r="A209" s="30" t="s">
        <v>119</v>
      </c>
      <c r="B209" s="30" t="s">
        <v>125</v>
      </c>
      <c r="C209" s="30">
        <v>2328700</v>
      </c>
      <c r="D209" s="30" t="s">
        <v>121</v>
      </c>
      <c r="E209" s="30" t="s">
        <v>122</v>
      </c>
      <c r="F209" s="30" t="s">
        <v>11</v>
      </c>
      <c r="G209" s="38">
        <v>8683</v>
      </c>
      <c r="H209" s="38">
        <v>10921</v>
      </c>
      <c r="I209" s="38">
        <v>55</v>
      </c>
      <c r="J209" s="38">
        <v>61</v>
      </c>
      <c r="K209" s="38">
        <v>40</v>
      </c>
      <c r="L209" s="38">
        <v>526</v>
      </c>
      <c r="M209" s="38">
        <v>402.5</v>
      </c>
      <c r="N209" s="38">
        <v>0.18707224334600758</v>
      </c>
      <c r="O209" s="38">
        <v>0.24136645962732922</v>
      </c>
      <c r="P209" s="141" t="s">
        <v>65</v>
      </c>
      <c r="Q209" s="38">
        <v>13709</v>
      </c>
      <c r="R209" s="38"/>
      <c r="S209" s="38"/>
      <c r="T209" s="38"/>
      <c r="U209" s="38"/>
      <c r="V209" s="38"/>
      <c r="W209" s="38"/>
      <c r="X209" s="38"/>
      <c r="Y209" s="30"/>
    </row>
    <row r="210" spans="1:25" s="14" customFormat="1" x14ac:dyDescent="0.35">
      <c r="A210" s="30" t="s">
        <v>119</v>
      </c>
      <c r="B210" s="30" t="s">
        <v>125</v>
      </c>
      <c r="C210" s="30">
        <v>2328732</v>
      </c>
      <c r="D210" s="30" t="s">
        <v>121</v>
      </c>
      <c r="E210" s="30" t="s">
        <v>122</v>
      </c>
      <c r="F210" s="30" t="s">
        <v>11</v>
      </c>
      <c r="G210" s="38">
        <v>11729</v>
      </c>
      <c r="H210" s="38">
        <v>10921</v>
      </c>
      <c r="I210" s="38">
        <v>57</v>
      </c>
      <c r="J210" s="38">
        <v>61</v>
      </c>
      <c r="K210" s="38">
        <v>40</v>
      </c>
      <c r="L210" s="38">
        <v>421</v>
      </c>
      <c r="M210" s="38">
        <v>402.5</v>
      </c>
      <c r="N210" s="38">
        <v>5.8907363420427551E-2</v>
      </c>
      <c r="O210" s="38">
        <v>0.24136645962732922</v>
      </c>
      <c r="P210" s="141" t="s">
        <v>65</v>
      </c>
      <c r="Q210" s="38">
        <v>13709</v>
      </c>
      <c r="R210" s="38"/>
      <c r="S210" s="38"/>
      <c r="T210" s="38"/>
      <c r="U210" s="38"/>
      <c r="V210" s="38"/>
      <c r="W210" s="38"/>
      <c r="X210" s="38"/>
      <c r="Y210" s="30"/>
    </row>
    <row r="211" spans="1:25" s="14" customFormat="1" x14ac:dyDescent="0.35">
      <c r="A211" s="30" t="s">
        <v>119</v>
      </c>
      <c r="B211" s="30" t="s">
        <v>125</v>
      </c>
      <c r="C211" s="30"/>
      <c r="D211" s="30" t="s">
        <v>121</v>
      </c>
      <c r="E211" s="30" t="s">
        <v>122</v>
      </c>
      <c r="F211" s="30" t="s">
        <v>11</v>
      </c>
      <c r="G211" s="38">
        <v>14905</v>
      </c>
      <c r="H211" s="38">
        <v>6456</v>
      </c>
      <c r="I211" s="38">
        <v>46</v>
      </c>
      <c r="J211" s="38">
        <v>54</v>
      </c>
      <c r="K211" s="38">
        <v>14</v>
      </c>
      <c r="L211" s="38">
        <v>211</v>
      </c>
      <c r="M211" s="38">
        <v>124</v>
      </c>
      <c r="N211" s="38"/>
      <c r="O211" s="38"/>
      <c r="P211" s="141" t="s">
        <v>65</v>
      </c>
      <c r="Q211" s="38">
        <v>6093</v>
      </c>
      <c r="R211" s="38"/>
      <c r="S211" s="38"/>
      <c r="T211" s="38"/>
      <c r="U211" s="38"/>
      <c r="V211" s="38"/>
      <c r="W211" s="38"/>
      <c r="X211" s="38"/>
      <c r="Y211" s="30"/>
    </row>
    <row r="212" spans="1:25" s="14" customFormat="1" x14ac:dyDescent="0.35">
      <c r="A212" s="30" t="s">
        <v>119</v>
      </c>
      <c r="B212" s="30" t="s">
        <v>125</v>
      </c>
      <c r="C212" s="30"/>
      <c r="D212" s="30" t="s">
        <v>121</v>
      </c>
      <c r="E212" s="30" t="s">
        <v>122</v>
      </c>
      <c r="F212" s="30" t="s">
        <v>11</v>
      </c>
      <c r="G212" s="38">
        <v>5324</v>
      </c>
      <c r="H212" s="38">
        <v>6706</v>
      </c>
      <c r="I212" s="38">
        <v>45</v>
      </c>
      <c r="J212" s="38">
        <v>64</v>
      </c>
      <c r="K212" s="38">
        <v>20</v>
      </c>
      <c r="L212" s="38">
        <v>170</v>
      </c>
      <c r="M212" s="38">
        <v>168</v>
      </c>
      <c r="N212" s="38"/>
      <c r="O212" s="38"/>
      <c r="P212" s="141" t="s">
        <v>65</v>
      </c>
      <c r="Q212" s="38">
        <v>10670</v>
      </c>
      <c r="R212" s="38"/>
      <c r="S212" s="38"/>
      <c r="T212" s="38"/>
      <c r="U212" s="38"/>
      <c r="V212" s="38"/>
      <c r="W212" s="38"/>
      <c r="X212" s="38"/>
      <c r="Y212" s="30"/>
    </row>
    <row r="213" spans="1:25" s="14" customFormat="1" x14ac:dyDescent="0.35">
      <c r="A213" s="30" t="s">
        <v>119</v>
      </c>
      <c r="B213" s="30" t="s">
        <v>125</v>
      </c>
      <c r="C213" s="30">
        <v>2362226</v>
      </c>
      <c r="D213" s="30" t="s">
        <v>121</v>
      </c>
      <c r="E213" s="30" t="s">
        <v>123</v>
      </c>
      <c r="F213" s="30" t="s">
        <v>11</v>
      </c>
      <c r="G213" s="38">
        <v>9023</v>
      </c>
      <c r="H213" s="38">
        <v>6439</v>
      </c>
      <c r="I213" s="38">
        <v>41</v>
      </c>
      <c r="J213" s="38">
        <v>61</v>
      </c>
      <c r="K213" s="38">
        <v>20</v>
      </c>
      <c r="L213" s="38">
        <v>584.70000000000005</v>
      </c>
      <c r="M213" s="38">
        <v>324.10000000000002</v>
      </c>
      <c r="N213" s="187">
        <v>0.47203694202154955</v>
      </c>
      <c r="O213" s="187">
        <v>0</v>
      </c>
      <c r="P213" s="141" t="s">
        <v>65</v>
      </c>
      <c r="Q213" s="30"/>
      <c r="R213" s="38"/>
      <c r="S213" s="38"/>
      <c r="T213" s="38"/>
      <c r="U213" s="38"/>
      <c r="V213" s="38"/>
      <c r="W213" s="38"/>
      <c r="X213" s="38"/>
      <c r="Y213" s="30"/>
    </row>
    <row r="214" spans="1:25" s="14" customFormat="1" x14ac:dyDescent="0.35">
      <c r="A214" s="30" t="s">
        <v>119</v>
      </c>
      <c r="B214" s="30" t="s">
        <v>125</v>
      </c>
      <c r="C214" s="30">
        <v>2362227</v>
      </c>
      <c r="D214" s="30" t="s">
        <v>121</v>
      </c>
      <c r="E214" s="30" t="s">
        <v>123</v>
      </c>
      <c r="F214" s="30" t="s">
        <v>11</v>
      </c>
      <c r="G214" s="38">
        <v>8546</v>
      </c>
      <c r="H214" s="38">
        <v>5803</v>
      </c>
      <c r="I214" s="38">
        <v>43</v>
      </c>
      <c r="J214" s="38">
        <v>60</v>
      </c>
      <c r="K214" s="38">
        <v>20</v>
      </c>
      <c r="L214" s="38">
        <v>603</v>
      </c>
      <c r="M214" s="38">
        <v>332.7</v>
      </c>
      <c r="N214" s="187">
        <v>0.44709784411276954</v>
      </c>
      <c r="O214" s="187">
        <v>0</v>
      </c>
      <c r="P214" s="141" t="s">
        <v>65</v>
      </c>
      <c r="Q214" s="30"/>
      <c r="R214" s="38"/>
      <c r="S214" s="38"/>
      <c r="T214" s="38"/>
      <c r="U214" s="38"/>
      <c r="V214" s="38"/>
      <c r="W214" s="38"/>
      <c r="X214" s="38"/>
      <c r="Y214" s="30"/>
    </row>
    <row r="215" spans="1:25" s="14" customFormat="1" x14ac:dyDescent="0.35">
      <c r="A215" s="30" t="s">
        <v>119</v>
      </c>
      <c r="B215" s="30" t="s">
        <v>125</v>
      </c>
      <c r="C215" s="30">
        <v>2359760</v>
      </c>
      <c r="D215" s="30" t="s">
        <v>121</v>
      </c>
      <c r="E215" s="30" t="s">
        <v>123</v>
      </c>
      <c r="F215" s="30" t="s">
        <v>11</v>
      </c>
      <c r="G215" s="38">
        <v>9656</v>
      </c>
      <c r="H215" s="38">
        <v>9754</v>
      </c>
      <c r="I215" s="38">
        <v>44</v>
      </c>
      <c r="J215" s="38">
        <v>57</v>
      </c>
      <c r="K215" s="38">
        <v>20</v>
      </c>
      <c r="L215" s="38">
        <v>642.4</v>
      </c>
      <c r="M215" s="38">
        <v>351.3</v>
      </c>
      <c r="N215" s="187">
        <v>0.26027397260273971</v>
      </c>
      <c r="O215" s="187">
        <v>0</v>
      </c>
      <c r="P215" s="141" t="s">
        <v>65</v>
      </c>
      <c r="Q215" s="30"/>
      <c r="R215" s="38"/>
      <c r="S215" s="38"/>
      <c r="T215" s="38"/>
      <c r="U215" s="38"/>
      <c r="V215" s="38"/>
      <c r="W215" s="38"/>
      <c r="X215" s="38"/>
      <c r="Y215" s="30"/>
    </row>
    <row r="216" spans="1:25" s="14" customFormat="1" x14ac:dyDescent="0.35">
      <c r="A216" s="30" t="s">
        <v>119</v>
      </c>
      <c r="B216" s="30" t="s">
        <v>125</v>
      </c>
      <c r="C216" s="30">
        <v>2277279</v>
      </c>
      <c r="D216" s="30" t="s">
        <v>121</v>
      </c>
      <c r="E216" s="30" t="s">
        <v>122</v>
      </c>
      <c r="F216" s="30" t="s">
        <v>11</v>
      </c>
      <c r="G216" s="38">
        <v>8361</v>
      </c>
      <c r="H216" s="38">
        <v>9379</v>
      </c>
      <c r="I216" s="38">
        <v>49</v>
      </c>
      <c r="J216" s="38">
        <v>59</v>
      </c>
      <c r="K216" s="38">
        <v>32</v>
      </c>
      <c r="L216" s="38">
        <v>400.2</v>
      </c>
      <c r="M216" s="38">
        <v>291.72000000000003</v>
      </c>
      <c r="N216" s="187">
        <v>0.17851074462768615</v>
      </c>
      <c r="O216" s="187">
        <v>0</v>
      </c>
      <c r="P216" s="141" t="s">
        <v>65</v>
      </c>
      <c r="Q216" s="30"/>
      <c r="R216" s="38"/>
      <c r="S216" s="38"/>
      <c r="T216" s="38"/>
      <c r="U216" s="38"/>
      <c r="V216" s="38"/>
      <c r="W216" s="38"/>
      <c r="X216" s="38"/>
      <c r="Y216" s="30"/>
    </row>
    <row r="217" spans="1:25" s="14" customFormat="1" x14ac:dyDescent="0.35">
      <c r="A217" s="30" t="s">
        <v>119</v>
      </c>
      <c r="B217" s="30" t="s">
        <v>125</v>
      </c>
      <c r="C217" s="30"/>
      <c r="D217" s="30" t="s">
        <v>121</v>
      </c>
      <c r="E217" s="30" t="s">
        <v>122</v>
      </c>
      <c r="F217" s="30" t="s">
        <v>11</v>
      </c>
      <c r="G217" s="38">
        <v>11979</v>
      </c>
      <c r="H217" s="38">
        <v>8152</v>
      </c>
      <c r="I217" s="38">
        <v>45</v>
      </c>
      <c r="J217" s="38">
        <v>55.000000000000007</v>
      </c>
      <c r="K217" s="38">
        <v>20</v>
      </c>
      <c r="L217" s="38"/>
      <c r="M217" s="38"/>
      <c r="N217" s="38"/>
      <c r="O217" s="38"/>
      <c r="P217" s="141" t="s">
        <v>65</v>
      </c>
      <c r="Q217" s="30"/>
      <c r="R217" s="38"/>
      <c r="S217" s="38"/>
      <c r="T217" s="38"/>
      <c r="U217" s="38"/>
      <c r="V217" s="38"/>
      <c r="W217" s="38"/>
      <c r="X217" s="38"/>
      <c r="Y217" s="30"/>
    </row>
    <row r="218" spans="1:25" s="14" customFormat="1" x14ac:dyDescent="0.35">
      <c r="A218" s="30" t="s">
        <v>119</v>
      </c>
      <c r="B218" s="30" t="s">
        <v>125</v>
      </c>
      <c r="C218" s="30"/>
      <c r="D218" s="30" t="s">
        <v>121</v>
      </c>
      <c r="E218" s="30" t="s">
        <v>122</v>
      </c>
      <c r="F218" s="30" t="s">
        <v>11</v>
      </c>
      <c r="G218" s="38">
        <v>44454</v>
      </c>
      <c r="H218" s="38">
        <v>8600</v>
      </c>
      <c r="I218" s="38">
        <v>37.6</v>
      </c>
      <c r="J218" s="38">
        <v>68.899999999999991</v>
      </c>
      <c r="K218" s="38">
        <v>20</v>
      </c>
      <c r="L218" s="38"/>
      <c r="M218" s="38"/>
      <c r="N218" s="38"/>
      <c r="O218" s="38"/>
      <c r="P218" s="141" t="s">
        <v>65</v>
      </c>
      <c r="Q218" s="30"/>
      <c r="R218" s="38"/>
      <c r="S218" s="38"/>
      <c r="T218" s="38"/>
      <c r="U218" s="38"/>
      <c r="V218" s="38"/>
      <c r="W218" s="38"/>
      <c r="X218" s="38"/>
      <c r="Y218" s="30"/>
    </row>
    <row r="219" spans="1:25" s="14" customFormat="1" x14ac:dyDescent="0.35">
      <c r="A219" s="30" t="s">
        <v>119</v>
      </c>
      <c r="B219" s="30" t="s">
        <v>125</v>
      </c>
      <c r="C219" s="30"/>
      <c r="D219" s="30" t="s">
        <v>121</v>
      </c>
      <c r="E219" s="30" t="s">
        <v>122</v>
      </c>
      <c r="F219" s="30" t="s">
        <v>11</v>
      </c>
      <c r="G219" s="38">
        <v>8299</v>
      </c>
      <c r="H219" s="38">
        <v>6274</v>
      </c>
      <c r="I219" s="38">
        <v>45</v>
      </c>
      <c r="J219" s="38">
        <v>61</v>
      </c>
      <c r="K219" s="38">
        <v>14</v>
      </c>
      <c r="L219" s="38"/>
      <c r="M219" s="38"/>
      <c r="N219" s="38"/>
      <c r="O219" s="38"/>
      <c r="P219" s="141" t="s">
        <v>65</v>
      </c>
      <c r="Q219" s="30"/>
      <c r="R219" s="38"/>
      <c r="S219" s="38"/>
      <c r="T219" s="38"/>
      <c r="U219" s="38"/>
      <c r="V219" s="38"/>
      <c r="W219" s="38"/>
      <c r="X219" s="38"/>
      <c r="Y219" s="30"/>
    </row>
    <row r="220" spans="1:25" s="14" customFormat="1" x14ac:dyDescent="0.35">
      <c r="A220" s="30" t="s">
        <v>119</v>
      </c>
      <c r="B220" s="30" t="s">
        <v>125</v>
      </c>
      <c r="C220" s="30"/>
      <c r="D220" s="30" t="s">
        <v>121</v>
      </c>
      <c r="E220" s="30" t="s">
        <v>122</v>
      </c>
      <c r="F220" s="30" t="s">
        <v>11</v>
      </c>
      <c r="G220" s="38">
        <v>4144</v>
      </c>
      <c r="H220" s="38">
        <v>12007</v>
      </c>
      <c r="I220" s="38">
        <v>29.2</v>
      </c>
      <c r="J220" s="38">
        <v>47</v>
      </c>
      <c r="K220" s="38">
        <v>14</v>
      </c>
      <c r="L220" s="38"/>
      <c r="M220" s="38"/>
      <c r="N220" s="38"/>
      <c r="O220" s="38"/>
      <c r="P220" s="141" t="s">
        <v>65</v>
      </c>
      <c r="Q220" s="30"/>
      <c r="R220" s="38"/>
      <c r="S220" s="38"/>
      <c r="T220" s="38"/>
      <c r="U220" s="38"/>
      <c r="V220" s="38"/>
      <c r="W220" s="38"/>
      <c r="X220" s="38"/>
      <c r="Y220" s="30"/>
    </row>
    <row r="221" spans="1:25" s="14" customFormat="1" x14ac:dyDescent="0.35">
      <c r="A221" s="30" t="s">
        <v>119</v>
      </c>
      <c r="B221" s="30" t="s">
        <v>125</v>
      </c>
      <c r="C221" s="30"/>
      <c r="D221" s="30" t="s">
        <v>121</v>
      </c>
      <c r="E221" s="30" t="s">
        <v>122</v>
      </c>
      <c r="F221" s="30" t="s">
        <v>11</v>
      </c>
      <c r="G221" s="38">
        <v>12299</v>
      </c>
      <c r="H221" s="38">
        <v>12345</v>
      </c>
      <c r="I221" s="38">
        <v>38.96</v>
      </c>
      <c r="J221" s="38">
        <v>41.8</v>
      </c>
      <c r="K221" s="38">
        <v>14</v>
      </c>
      <c r="L221" s="38"/>
      <c r="M221" s="38"/>
      <c r="N221" s="38"/>
      <c r="O221" s="38"/>
      <c r="P221" s="141" t="s">
        <v>65</v>
      </c>
      <c r="Q221" s="30"/>
      <c r="R221" s="38"/>
      <c r="S221" s="38"/>
      <c r="T221" s="38"/>
      <c r="U221" s="38"/>
      <c r="V221" s="38"/>
      <c r="W221" s="38"/>
      <c r="X221" s="38"/>
      <c r="Y221" s="30"/>
    </row>
    <row r="222" spans="1:25" s="14" customFormat="1" x14ac:dyDescent="0.35">
      <c r="A222" s="30" t="s">
        <v>119</v>
      </c>
      <c r="B222" s="30" t="s">
        <v>125</v>
      </c>
      <c r="C222" s="30"/>
      <c r="D222" s="30" t="s">
        <v>121</v>
      </c>
      <c r="E222" s="30" t="s">
        <v>122</v>
      </c>
      <c r="F222" s="30" t="s">
        <v>11</v>
      </c>
      <c r="G222" s="38">
        <v>8560</v>
      </c>
      <c r="H222" s="38">
        <v>6300</v>
      </c>
      <c r="I222" s="38">
        <v>56.000000000000007</v>
      </c>
      <c r="J222" s="38">
        <v>61</v>
      </c>
      <c r="K222" s="38">
        <v>14</v>
      </c>
      <c r="L222" s="38"/>
      <c r="M222" s="38"/>
      <c r="N222" s="38"/>
      <c r="O222" s="38"/>
      <c r="P222" s="141" t="s">
        <v>65</v>
      </c>
      <c r="Q222" s="30"/>
      <c r="R222" s="38"/>
      <c r="S222" s="38"/>
      <c r="T222" s="38"/>
      <c r="U222" s="38"/>
      <c r="V222" s="38"/>
      <c r="W222" s="38"/>
      <c r="X222" s="38"/>
      <c r="Y222" s="30"/>
    </row>
    <row r="223" spans="1:25" s="14" customFormat="1" x14ac:dyDescent="0.35">
      <c r="A223" s="30" t="s">
        <v>119</v>
      </c>
      <c r="B223" s="30" t="s">
        <v>125</v>
      </c>
      <c r="C223" s="30"/>
      <c r="D223" s="30" t="s">
        <v>121</v>
      </c>
      <c r="E223" s="30" t="s">
        <v>122</v>
      </c>
      <c r="F223" s="30" t="s">
        <v>11</v>
      </c>
      <c r="G223" s="38">
        <v>14905</v>
      </c>
      <c r="H223" s="38">
        <v>6456</v>
      </c>
      <c r="I223" s="38">
        <v>45.5</v>
      </c>
      <c r="J223" s="38">
        <v>54.1</v>
      </c>
      <c r="K223" s="38">
        <v>14</v>
      </c>
      <c r="L223" s="38"/>
      <c r="M223" s="38"/>
      <c r="N223" s="38"/>
      <c r="O223" s="38"/>
      <c r="P223" s="141" t="s">
        <v>65</v>
      </c>
      <c r="Q223" s="30"/>
      <c r="R223" s="38"/>
      <c r="S223" s="38"/>
      <c r="T223" s="38"/>
      <c r="U223" s="38"/>
      <c r="V223" s="38"/>
      <c r="W223" s="38"/>
      <c r="X223" s="38"/>
      <c r="Y223" s="30"/>
    </row>
    <row r="224" spans="1:25" s="14" customFormat="1" x14ac:dyDescent="0.35">
      <c r="A224" s="30" t="s">
        <v>119</v>
      </c>
      <c r="B224" s="30" t="s">
        <v>125</v>
      </c>
      <c r="C224" s="30"/>
      <c r="D224" s="30" t="s">
        <v>121</v>
      </c>
      <c r="E224" s="30" t="s">
        <v>122</v>
      </c>
      <c r="F224" s="30" t="s">
        <v>11</v>
      </c>
      <c r="G224" s="38">
        <v>11752</v>
      </c>
      <c r="H224" s="38">
        <v>7175</v>
      </c>
      <c r="I224" s="38">
        <v>48</v>
      </c>
      <c r="J224" s="38">
        <v>55.000000000000007</v>
      </c>
      <c r="K224" s="38">
        <v>12</v>
      </c>
      <c r="L224" s="38"/>
      <c r="M224" s="38"/>
      <c r="N224" s="38"/>
      <c r="O224" s="38"/>
      <c r="P224" s="141" t="s">
        <v>65</v>
      </c>
      <c r="Q224" s="30"/>
      <c r="R224" s="38"/>
      <c r="S224" s="38"/>
      <c r="T224" s="38"/>
      <c r="U224" s="38"/>
      <c r="V224" s="38"/>
      <c r="W224" s="38"/>
      <c r="X224" s="38"/>
      <c r="Y224" s="30"/>
    </row>
    <row r="225" spans="1:25" s="14" customFormat="1" x14ac:dyDescent="0.35">
      <c r="A225" s="30" t="s">
        <v>119</v>
      </c>
      <c r="B225" s="30" t="s">
        <v>125</v>
      </c>
      <c r="C225" s="30"/>
      <c r="D225" s="30" t="s">
        <v>121</v>
      </c>
      <c r="E225" s="30" t="s">
        <v>122</v>
      </c>
      <c r="F225" s="30" t="s">
        <v>11</v>
      </c>
      <c r="G225" s="38">
        <v>26260</v>
      </c>
      <c r="H225" s="38">
        <v>5900</v>
      </c>
      <c r="I225" s="38">
        <v>41.17</v>
      </c>
      <c r="J225" s="38">
        <v>52.33</v>
      </c>
      <c r="K225" s="38">
        <v>12</v>
      </c>
      <c r="L225" s="38"/>
      <c r="M225" s="38"/>
      <c r="N225" s="38"/>
      <c r="O225" s="38"/>
      <c r="P225" s="141" t="s">
        <v>65</v>
      </c>
      <c r="Q225" s="30"/>
      <c r="R225" s="38"/>
      <c r="S225" s="38"/>
      <c r="T225" s="38"/>
      <c r="U225" s="38"/>
      <c r="V225" s="38"/>
      <c r="W225" s="38"/>
      <c r="X225" s="38"/>
      <c r="Y225" s="30"/>
    </row>
    <row r="226" spans="1:25" s="14" customFormat="1" x14ac:dyDescent="0.35">
      <c r="A226" s="30" t="s">
        <v>119</v>
      </c>
      <c r="B226" s="30" t="s">
        <v>125</v>
      </c>
      <c r="C226" s="30"/>
      <c r="D226" s="30" t="s">
        <v>121</v>
      </c>
      <c r="E226" s="30" t="s">
        <v>122</v>
      </c>
      <c r="F226" s="30" t="s">
        <v>11</v>
      </c>
      <c r="G226" s="38">
        <v>17122</v>
      </c>
      <c r="H226" s="38">
        <v>6930</v>
      </c>
      <c r="I226" s="38">
        <v>47.599999999999994</v>
      </c>
      <c r="J226" s="38">
        <v>51.6</v>
      </c>
      <c r="K226" s="38">
        <v>12</v>
      </c>
      <c r="L226" s="38"/>
      <c r="M226" s="38"/>
      <c r="N226" s="38"/>
      <c r="O226" s="38"/>
      <c r="P226" s="141" t="s">
        <v>65</v>
      </c>
      <c r="Q226" s="30"/>
      <c r="R226" s="38"/>
      <c r="S226" s="38"/>
      <c r="T226" s="38"/>
      <c r="U226" s="38"/>
      <c r="V226" s="38"/>
      <c r="W226" s="38"/>
      <c r="X226" s="38"/>
      <c r="Y226" s="30"/>
    </row>
    <row r="227" spans="1:25" s="14" customFormat="1" x14ac:dyDescent="0.35">
      <c r="A227" s="30" t="s">
        <v>119</v>
      </c>
      <c r="B227" s="30" t="s">
        <v>125</v>
      </c>
      <c r="C227" s="30"/>
      <c r="D227" s="30" t="s">
        <v>121</v>
      </c>
      <c r="E227" s="30" t="s">
        <v>123</v>
      </c>
      <c r="F227" s="30" t="s">
        <v>11</v>
      </c>
      <c r="G227" s="38">
        <v>8467</v>
      </c>
      <c r="H227" s="38">
        <v>5531</v>
      </c>
      <c r="I227" s="38">
        <v>46</v>
      </c>
      <c r="J227" s="38">
        <v>56.999999999999993</v>
      </c>
      <c r="K227" s="38">
        <v>10</v>
      </c>
      <c r="L227" s="38"/>
      <c r="M227" s="38"/>
      <c r="N227" s="38"/>
      <c r="O227" s="38"/>
      <c r="P227" s="141" t="s">
        <v>65</v>
      </c>
      <c r="Q227" s="30"/>
      <c r="R227" s="38"/>
      <c r="S227" s="38"/>
      <c r="T227" s="38"/>
      <c r="U227" s="38"/>
      <c r="V227" s="38"/>
      <c r="W227" s="38"/>
      <c r="X227" s="38"/>
      <c r="Y227" s="30"/>
    </row>
    <row r="228" spans="1:25" s="14" customFormat="1" x14ac:dyDescent="0.35">
      <c r="A228" s="30" t="s">
        <v>119</v>
      </c>
      <c r="B228" s="30" t="s">
        <v>125</v>
      </c>
      <c r="C228" s="30"/>
      <c r="D228" s="30" t="s">
        <v>121</v>
      </c>
      <c r="E228" s="30" t="s">
        <v>123</v>
      </c>
      <c r="F228" s="30" t="s">
        <v>11</v>
      </c>
      <c r="G228" s="38">
        <v>29149</v>
      </c>
      <c r="H228" s="38">
        <v>8431</v>
      </c>
      <c r="I228" s="38">
        <v>32.5</v>
      </c>
      <c r="J228" s="38">
        <v>39.6</v>
      </c>
      <c r="K228" s="38">
        <v>10</v>
      </c>
      <c r="L228" s="38"/>
      <c r="M228" s="38"/>
      <c r="N228" s="38"/>
      <c r="O228" s="38"/>
      <c r="P228" s="141" t="s">
        <v>65</v>
      </c>
      <c r="Q228" s="30"/>
      <c r="R228" s="38"/>
      <c r="S228" s="38"/>
      <c r="T228" s="38"/>
      <c r="U228" s="38"/>
      <c r="V228" s="38"/>
      <c r="W228" s="38"/>
      <c r="X228" s="38"/>
      <c r="Y228" s="30"/>
    </row>
    <row r="229" spans="1:25" s="14" customFormat="1" x14ac:dyDescent="0.35">
      <c r="A229" s="30" t="s">
        <v>119</v>
      </c>
      <c r="B229" s="30" t="s">
        <v>125</v>
      </c>
      <c r="C229" s="30"/>
      <c r="D229" s="30" t="s">
        <v>121</v>
      </c>
      <c r="E229" s="30" t="s">
        <v>123</v>
      </c>
      <c r="F229" s="30" t="s">
        <v>11</v>
      </c>
      <c r="G229" s="38">
        <v>12035</v>
      </c>
      <c r="H229" s="38">
        <v>5269</v>
      </c>
      <c r="I229" s="38">
        <v>47.599999999999994</v>
      </c>
      <c r="J229" s="38">
        <v>50.9</v>
      </c>
      <c r="K229" s="38">
        <v>6</v>
      </c>
      <c r="L229" s="38"/>
      <c r="M229" s="38"/>
      <c r="N229" s="38"/>
      <c r="O229" s="38"/>
      <c r="P229" s="141" t="s">
        <v>65</v>
      </c>
      <c r="Q229" s="30"/>
      <c r="R229" s="38"/>
      <c r="S229" s="38"/>
      <c r="T229" s="38"/>
      <c r="U229" s="38"/>
      <c r="V229" s="38"/>
      <c r="W229" s="38"/>
      <c r="X229" s="38"/>
      <c r="Y229" s="30"/>
    </row>
    <row r="230" spans="1:25" s="14" customFormat="1" x14ac:dyDescent="0.35">
      <c r="A230" s="30" t="s">
        <v>119</v>
      </c>
      <c r="B230" s="30" t="s">
        <v>125</v>
      </c>
      <c r="C230" s="138" t="s">
        <v>124</v>
      </c>
      <c r="D230" s="30" t="s">
        <v>121</v>
      </c>
      <c r="E230" s="30"/>
      <c r="F230" s="30" t="s">
        <v>11</v>
      </c>
      <c r="G230" s="38">
        <v>45000</v>
      </c>
      <c r="H230" s="38">
        <v>15000</v>
      </c>
      <c r="I230" s="38">
        <v>20</v>
      </c>
      <c r="J230" s="38">
        <v>35</v>
      </c>
      <c r="K230" s="38">
        <v>10</v>
      </c>
      <c r="L230" s="38">
        <v>100</v>
      </c>
      <c r="M230" s="38">
        <v>80</v>
      </c>
      <c r="N230" s="38">
        <v>3.3600000000000003</v>
      </c>
      <c r="O230" s="38">
        <v>0</v>
      </c>
      <c r="P230" s="141" t="s">
        <v>65</v>
      </c>
      <c r="Q230" s="38">
        <v>18000</v>
      </c>
      <c r="R230" s="38"/>
      <c r="S230" s="38"/>
      <c r="T230" s="38"/>
      <c r="U230" s="38"/>
      <c r="V230" s="38"/>
      <c r="W230" s="38"/>
      <c r="X230" s="38"/>
      <c r="Y230" s="30"/>
    </row>
    <row r="231" spans="1:25" s="14" customFormat="1" x14ac:dyDescent="0.35">
      <c r="A231" s="30" t="s">
        <v>119</v>
      </c>
      <c r="B231" s="30" t="s">
        <v>125</v>
      </c>
      <c r="C231" s="138" t="s">
        <v>124</v>
      </c>
      <c r="D231" s="30" t="s">
        <v>121</v>
      </c>
      <c r="E231" s="30"/>
      <c r="F231" s="30" t="s">
        <v>11</v>
      </c>
      <c r="G231" s="38">
        <v>45000</v>
      </c>
      <c r="H231" s="38">
        <v>15000</v>
      </c>
      <c r="I231" s="38">
        <v>20</v>
      </c>
      <c r="J231" s="38">
        <v>35</v>
      </c>
      <c r="K231" s="38">
        <v>10</v>
      </c>
      <c r="L231" s="38">
        <v>100</v>
      </c>
      <c r="M231" s="38">
        <v>80</v>
      </c>
      <c r="N231" s="38">
        <v>3.3600000000000003</v>
      </c>
      <c r="O231" s="38">
        <v>0</v>
      </c>
      <c r="P231" s="141" t="s">
        <v>65</v>
      </c>
      <c r="Q231" s="38">
        <v>18000</v>
      </c>
      <c r="R231" s="38"/>
      <c r="S231" s="38"/>
      <c r="T231" s="38"/>
      <c r="U231" s="38"/>
      <c r="V231" s="38"/>
      <c r="W231" s="38"/>
      <c r="X231" s="38"/>
      <c r="Y231" s="30"/>
    </row>
    <row r="232" spans="1:25" s="14" customFormat="1" x14ac:dyDescent="0.35">
      <c r="A232" s="30" t="s">
        <v>119</v>
      </c>
      <c r="B232" s="30" t="s">
        <v>125</v>
      </c>
      <c r="C232" s="138" t="s">
        <v>124</v>
      </c>
      <c r="D232" s="30" t="s">
        <v>121</v>
      </c>
      <c r="E232" s="30"/>
      <c r="F232" s="30" t="s">
        <v>11</v>
      </c>
      <c r="G232" s="38">
        <v>45000</v>
      </c>
      <c r="H232" s="38">
        <v>15000</v>
      </c>
      <c r="I232" s="38">
        <v>20</v>
      </c>
      <c r="J232" s="38">
        <v>35</v>
      </c>
      <c r="K232" s="38">
        <v>10</v>
      </c>
      <c r="L232" s="38">
        <v>100</v>
      </c>
      <c r="M232" s="38">
        <v>80</v>
      </c>
      <c r="N232" s="38">
        <v>3.3600000000000003</v>
      </c>
      <c r="O232" s="38">
        <v>0</v>
      </c>
      <c r="P232" s="141" t="s">
        <v>65</v>
      </c>
      <c r="Q232" s="38">
        <v>18000</v>
      </c>
      <c r="R232" s="38"/>
      <c r="S232" s="38"/>
      <c r="T232" s="38"/>
      <c r="U232" s="38"/>
      <c r="V232" s="38"/>
      <c r="W232" s="38"/>
      <c r="X232" s="38"/>
      <c r="Y232" s="30"/>
    </row>
    <row r="233" spans="1:25" s="14" customFormat="1" x14ac:dyDescent="0.35">
      <c r="A233" s="30" t="s">
        <v>119</v>
      </c>
      <c r="B233" s="30" t="s">
        <v>125</v>
      </c>
      <c r="C233" s="138" t="s">
        <v>124</v>
      </c>
      <c r="D233" s="30" t="s">
        <v>121</v>
      </c>
      <c r="E233" s="30"/>
      <c r="F233" s="30" t="s">
        <v>11</v>
      </c>
      <c r="G233" s="38">
        <v>45000</v>
      </c>
      <c r="H233" s="38">
        <v>15000</v>
      </c>
      <c r="I233" s="38">
        <v>20</v>
      </c>
      <c r="J233" s="38">
        <v>35</v>
      </c>
      <c r="K233" s="38">
        <v>10</v>
      </c>
      <c r="L233" s="38">
        <v>100</v>
      </c>
      <c r="M233" s="38">
        <v>80</v>
      </c>
      <c r="N233" s="38">
        <v>3.3600000000000003</v>
      </c>
      <c r="O233" s="38">
        <v>0</v>
      </c>
      <c r="P233" s="141" t="s">
        <v>65</v>
      </c>
      <c r="Q233" s="38">
        <v>18000</v>
      </c>
      <c r="R233" s="38"/>
      <c r="S233" s="38"/>
      <c r="T233" s="38"/>
      <c r="U233" s="38"/>
      <c r="V233" s="38"/>
      <c r="W233" s="38"/>
      <c r="X233" s="38"/>
      <c r="Y233" s="30"/>
    </row>
    <row r="234" spans="1:25" s="14" customFormat="1" x14ac:dyDescent="0.35">
      <c r="A234" s="30" t="s">
        <v>119</v>
      </c>
      <c r="B234" s="30" t="s">
        <v>125</v>
      </c>
      <c r="C234" s="138" t="s">
        <v>124</v>
      </c>
      <c r="D234" s="30" t="s">
        <v>121</v>
      </c>
      <c r="E234" s="30"/>
      <c r="F234" s="30" t="s">
        <v>11</v>
      </c>
      <c r="G234" s="38">
        <v>45000</v>
      </c>
      <c r="H234" s="38">
        <v>15000</v>
      </c>
      <c r="I234" s="38">
        <v>20</v>
      </c>
      <c r="J234" s="38">
        <v>35</v>
      </c>
      <c r="K234" s="38">
        <v>10</v>
      </c>
      <c r="L234" s="38">
        <v>100</v>
      </c>
      <c r="M234" s="38">
        <v>80</v>
      </c>
      <c r="N234" s="38">
        <v>3.3600000000000003</v>
      </c>
      <c r="O234" s="38">
        <v>0</v>
      </c>
      <c r="P234" s="141" t="s">
        <v>65</v>
      </c>
      <c r="Q234" s="38">
        <v>18000</v>
      </c>
      <c r="R234" s="38"/>
      <c r="S234" s="38"/>
      <c r="T234" s="38"/>
      <c r="U234" s="38"/>
      <c r="V234" s="38"/>
      <c r="W234" s="38"/>
      <c r="X234" s="38"/>
      <c r="Y234" s="30"/>
    </row>
    <row r="235" spans="1:25" s="14" customFormat="1" x14ac:dyDescent="0.35">
      <c r="A235" s="30" t="s">
        <v>119</v>
      </c>
      <c r="B235" s="30" t="s">
        <v>125</v>
      </c>
      <c r="C235" s="138" t="s">
        <v>124</v>
      </c>
      <c r="D235" s="30" t="s">
        <v>121</v>
      </c>
      <c r="E235" s="30"/>
      <c r="F235" s="30" t="s">
        <v>11</v>
      </c>
      <c r="G235" s="38">
        <v>45000</v>
      </c>
      <c r="H235" s="38">
        <v>15000</v>
      </c>
      <c r="I235" s="38">
        <v>20</v>
      </c>
      <c r="J235" s="38">
        <v>35</v>
      </c>
      <c r="K235" s="38">
        <v>10</v>
      </c>
      <c r="L235" s="38">
        <v>100</v>
      </c>
      <c r="M235" s="38">
        <v>80</v>
      </c>
      <c r="N235" s="38">
        <v>3.3600000000000003</v>
      </c>
      <c r="O235" s="38">
        <v>0</v>
      </c>
      <c r="P235" s="141" t="s">
        <v>65</v>
      </c>
      <c r="Q235" s="38">
        <v>18000</v>
      </c>
      <c r="R235" s="38"/>
      <c r="S235" s="38"/>
      <c r="T235" s="38"/>
      <c r="U235" s="38"/>
      <c r="V235" s="38"/>
      <c r="W235" s="38"/>
      <c r="X235" s="38"/>
      <c r="Y235" s="30"/>
    </row>
    <row r="236" spans="1:25" s="14" customFormat="1" x14ac:dyDescent="0.35">
      <c r="A236" s="30" t="s">
        <v>119</v>
      </c>
      <c r="B236" s="30" t="s">
        <v>125</v>
      </c>
      <c r="C236" s="138" t="s">
        <v>124</v>
      </c>
      <c r="D236" s="30" t="s">
        <v>121</v>
      </c>
      <c r="E236" s="30"/>
      <c r="F236" s="30" t="s">
        <v>11</v>
      </c>
      <c r="G236" s="38">
        <v>45000</v>
      </c>
      <c r="H236" s="38">
        <v>15000</v>
      </c>
      <c r="I236" s="38">
        <v>20</v>
      </c>
      <c r="J236" s="38">
        <v>35</v>
      </c>
      <c r="K236" s="38">
        <v>10</v>
      </c>
      <c r="L236" s="38">
        <v>100</v>
      </c>
      <c r="M236" s="38">
        <v>80</v>
      </c>
      <c r="N236" s="38">
        <v>3.3600000000000003</v>
      </c>
      <c r="O236" s="38">
        <v>0</v>
      </c>
      <c r="P236" s="141" t="s">
        <v>65</v>
      </c>
      <c r="Q236" s="38">
        <v>18000</v>
      </c>
      <c r="R236" s="38"/>
      <c r="S236" s="38"/>
      <c r="T236" s="38"/>
      <c r="U236" s="38"/>
      <c r="V236" s="38"/>
      <c r="W236" s="38"/>
      <c r="X236" s="38"/>
      <c r="Y236" s="30"/>
    </row>
    <row r="237" spans="1:25" s="14" customFormat="1" x14ac:dyDescent="0.35">
      <c r="A237" s="30" t="s">
        <v>119</v>
      </c>
      <c r="B237" s="30" t="s">
        <v>125</v>
      </c>
      <c r="C237" s="138" t="s">
        <v>124</v>
      </c>
      <c r="D237" s="30" t="s">
        <v>121</v>
      </c>
      <c r="E237" s="30"/>
      <c r="F237" s="30" t="s">
        <v>11</v>
      </c>
      <c r="G237" s="38">
        <v>45000</v>
      </c>
      <c r="H237" s="38">
        <v>15000</v>
      </c>
      <c r="I237" s="38">
        <v>20</v>
      </c>
      <c r="J237" s="38">
        <v>35</v>
      </c>
      <c r="K237" s="38">
        <v>10</v>
      </c>
      <c r="L237" s="38">
        <v>100</v>
      </c>
      <c r="M237" s="38">
        <v>80</v>
      </c>
      <c r="N237" s="38">
        <v>3.3600000000000003</v>
      </c>
      <c r="O237" s="38">
        <v>0</v>
      </c>
      <c r="P237" s="141" t="s">
        <v>65</v>
      </c>
      <c r="Q237" s="38">
        <v>18000</v>
      </c>
      <c r="R237" s="38"/>
      <c r="S237" s="38"/>
      <c r="T237" s="38"/>
      <c r="U237" s="38"/>
      <c r="V237" s="38"/>
      <c r="W237" s="38"/>
      <c r="X237" s="38"/>
      <c r="Y237" s="30"/>
    </row>
    <row r="238" spans="1:25" s="14" customFormat="1" x14ac:dyDescent="0.35">
      <c r="A238" s="30" t="s">
        <v>119</v>
      </c>
      <c r="B238" s="30" t="s">
        <v>125</v>
      </c>
      <c r="C238" s="138" t="s">
        <v>124</v>
      </c>
      <c r="D238" s="30" t="s">
        <v>121</v>
      </c>
      <c r="E238" s="30"/>
      <c r="F238" s="30" t="s">
        <v>11</v>
      </c>
      <c r="G238" s="38">
        <v>45000</v>
      </c>
      <c r="H238" s="38">
        <v>15000</v>
      </c>
      <c r="I238" s="38">
        <v>20</v>
      </c>
      <c r="J238" s="38">
        <v>35</v>
      </c>
      <c r="K238" s="38">
        <v>10</v>
      </c>
      <c r="L238" s="38">
        <v>100</v>
      </c>
      <c r="M238" s="38">
        <v>80</v>
      </c>
      <c r="N238" s="38">
        <v>3.3600000000000003</v>
      </c>
      <c r="O238" s="38">
        <v>0</v>
      </c>
      <c r="P238" s="141" t="s">
        <v>65</v>
      </c>
      <c r="Q238" s="38">
        <v>18000</v>
      </c>
      <c r="R238" s="38"/>
      <c r="S238" s="38"/>
      <c r="T238" s="38"/>
      <c r="U238" s="38"/>
      <c r="V238" s="38"/>
      <c r="W238" s="38"/>
      <c r="X238" s="38"/>
      <c r="Y238" s="30"/>
    </row>
    <row r="239" spans="1:25" s="14" customFormat="1" x14ac:dyDescent="0.35">
      <c r="A239" s="30" t="s">
        <v>119</v>
      </c>
      <c r="B239" s="30" t="s">
        <v>125</v>
      </c>
      <c r="C239" s="138" t="s">
        <v>124</v>
      </c>
      <c r="D239" s="30" t="s">
        <v>121</v>
      </c>
      <c r="E239" s="30"/>
      <c r="F239" s="30" t="s">
        <v>11</v>
      </c>
      <c r="G239" s="38">
        <v>45000</v>
      </c>
      <c r="H239" s="38">
        <v>15000</v>
      </c>
      <c r="I239" s="38">
        <v>20</v>
      </c>
      <c r="J239" s="38">
        <v>35</v>
      </c>
      <c r="K239" s="38">
        <v>10</v>
      </c>
      <c r="L239" s="38">
        <v>100</v>
      </c>
      <c r="M239" s="38">
        <v>80</v>
      </c>
      <c r="N239" s="38">
        <v>3.3600000000000003</v>
      </c>
      <c r="O239" s="38">
        <v>0</v>
      </c>
      <c r="P239" s="141" t="s">
        <v>65</v>
      </c>
      <c r="Q239" s="38">
        <v>18000</v>
      </c>
      <c r="R239" s="38"/>
      <c r="S239" s="38"/>
      <c r="T239" s="38"/>
      <c r="U239" s="38"/>
      <c r="V239" s="38"/>
      <c r="W239" s="38"/>
      <c r="X239" s="38"/>
      <c r="Y239" s="30"/>
    </row>
    <row r="240" spans="1:25" s="14" customFormat="1" x14ac:dyDescent="0.35">
      <c r="A240" s="30" t="s">
        <v>119</v>
      </c>
      <c r="B240" s="30" t="s">
        <v>125</v>
      </c>
      <c r="C240" s="138" t="s">
        <v>124</v>
      </c>
      <c r="D240" s="30" t="s">
        <v>121</v>
      </c>
      <c r="E240" s="30"/>
      <c r="F240" s="30" t="s">
        <v>11</v>
      </c>
      <c r="G240" s="38">
        <v>45000</v>
      </c>
      <c r="H240" s="38">
        <v>15000</v>
      </c>
      <c r="I240" s="38">
        <v>20</v>
      </c>
      <c r="J240" s="38">
        <v>35</v>
      </c>
      <c r="K240" s="38">
        <v>10</v>
      </c>
      <c r="L240" s="38">
        <v>100</v>
      </c>
      <c r="M240" s="38">
        <v>80</v>
      </c>
      <c r="N240" s="38">
        <v>3.3600000000000003</v>
      </c>
      <c r="O240" s="38">
        <v>0</v>
      </c>
      <c r="P240" s="141" t="s">
        <v>65</v>
      </c>
      <c r="Q240" s="38">
        <v>18000</v>
      </c>
      <c r="R240" s="38"/>
      <c r="S240" s="38"/>
      <c r="T240" s="38"/>
      <c r="U240" s="38"/>
      <c r="V240" s="38"/>
      <c r="W240" s="38"/>
      <c r="X240" s="38"/>
      <c r="Y240" s="30"/>
    </row>
    <row r="241" spans="1:25" s="14" customFormat="1" x14ac:dyDescent="0.35">
      <c r="A241" s="30" t="s">
        <v>119</v>
      </c>
      <c r="B241" s="30" t="s">
        <v>125</v>
      </c>
      <c r="C241" s="138" t="s">
        <v>124</v>
      </c>
      <c r="D241" s="30" t="s">
        <v>121</v>
      </c>
      <c r="E241" s="30"/>
      <c r="F241" s="30" t="s">
        <v>11</v>
      </c>
      <c r="G241" s="38">
        <v>45000</v>
      </c>
      <c r="H241" s="38">
        <v>15000</v>
      </c>
      <c r="I241" s="38">
        <v>20</v>
      </c>
      <c r="J241" s="38">
        <v>35</v>
      </c>
      <c r="K241" s="38">
        <v>10</v>
      </c>
      <c r="L241" s="38">
        <v>100</v>
      </c>
      <c r="M241" s="38">
        <v>80</v>
      </c>
      <c r="N241" s="38">
        <v>3.3600000000000003</v>
      </c>
      <c r="O241" s="38">
        <v>0</v>
      </c>
      <c r="P241" s="141" t="s">
        <v>65</v>
      </c>
      <c r="Q241" s="38">
        <v>18000</v>
      </c>
      <c r="R241" s="38"/>
      <c r="S241" s="38"/>
      <c r="T241" s="38"/>
      <c r="U241" s="38"/>
      <c r="V241" s="38"/>
      <c r="W241" s="38"/>
      <c r="X241" s="38"/>
      <c r="Y241" s="30"/>
    </row>
    <row r="242" spans="1:25" s="14" customFormat="1" x14ac:dyDescent="0.35">
      <c r="A242" s="30" t="s">
        <v>119</v>
      </c>
      <c r="B242" s="30" t="s">
        <v>125</v>
      </c>
      <c r="C242" s="138" t="s">
        <v>124</v>
      </c>
      <c r="D242" s="30" t="s">
        <v>121</v>
      </c>
      <c r="E242" s="30"/>
      <c r="F242" s="30" t="s">
        <v>11</v>
      </c>
      <c r="G242" s="38">
        <v>45000</v>
      </c>
      <c r="H242" s="38">
        <v>15000</v>
      </c>
      <c r="I242" s="38">
        <v>20</v>
      </c>
      <c r="J242" s="38">
        <v>35</v>
      </c>
      <c r="K242" s="38">
        <v>10</v>
      </c>
      <c r="L242" s="38">
        <v>100</v>
      </c>
      <c r="M242" s="38">
        <v>80</v>
      </c>
      <c r="N242" s="38">
        <v>3.3600000000000003</v>
      </c>
      <c r="O242" s="38">
        <v>0</v>
      </c>
      <c r="P242" s="141" t="s">
        <v>65</v>
      </c>
      <c r="Q242" s="38">
        <v>18000</v>
      </c>
      <c r="R242" s="38"/>
      <c r="S242" s="38"/>
      <c r="T242" s="38"/>
      <c r="U242" s="38"/>
      <c r="V242" s="38"/>
      <c r="W242" s="38"/>
      <c r="X242" s="38"/>
      <c r="Y242" s="30"/>
    </row>
    <row r="243" spans="1:25" s="14" customFormat="1" x14ac:dyDescent="0.35">
      <c r="A243" s="30" t="s">
        <v>119</v>
      </c>
      <c r="B243" s="30" t="s">
        <v>125</v>
      </c>
      <c r="C243" s="138" t="s">
        <v>124</v>
      </c>
      <c r="D243" s="30" t="s">
        <v>121</v>
      </c>
      <c r="E243" s="30"/>
      <c r="F243" s="30" t="s">
        <v>11</v>
      </c>
      <c r="G243" s="38">
        <v>45000</v>
      </c>
      <c r="H243" s="38">
        <v>15000</v>
      </c>
      <c r="I243" s="38">
        <v>20</v>
      </c>
      <c r="J243" s="38">
        <v>35</v>
      </c>
      <c r="K243" s="38">
        <v>10</v>
      </c>
      <c r="L243" s="38">
        <v>100</v>
      </c>
      <c r="M243" s="38">
        <v>80</v>
      </c>
      <c r="N243" s="38">
        <v>3.3600000000000003</v>
      </c>
      <c r="O243" s="38">
        <v>0</v>
      </c>
      <c r="P243" s="141" t="s">
        <v>65</v>
      </c>
      <c r="Q243" s="38">
        <v>18000</v>
      </c>
      <c r="R243" s="38"/>
      <c r="S243" s="38"/>
      <c r="T243" s="38"/>
      <c r="U243" s="38"/>
      <c r="V243" s="38"/>
      <c r="W243" s="38"/>
      <c r="X243" s="38"/>
      <c r="Y243" s="30"/>
    </row>
    <row r="244" spans="1:25" s="14" customFormat="1" x14ac:dyDescent="0.35">
      <c r="A244" s="30" t="s">
        <v>119</v>
      </c>
      <c r="B244" s="30" t="s">
        <v>125</v>
      </c>
      <c r="C244" s="138" t="s">
        <v>124</v>
      </c>
      <c r="D244" s="30" t="s">
        <v>121</v>
      </c>
      <c r="E244" s="30"/>
      <c r="F244" s="30" t="s">
        <v>11</v>
      </c>
      <c r="G244" s="38">
        <v>45000</v>
      </c>
      <c r="H244" s="38">
        <v>15000</v>
      </c>
      <c r="I244" s="38">
        <v>20</v>
      </c>
      <c r="J244" s="38">
        <v>35</v>
      </c>
      <c r="K244" s="38">
        <v>10</v>
      </c>
      <c r="L244" s="38">
        <v>100</v>
      </c>
      <c r="M244" s="38">
        <v>80</v>
      </c>
      <c r="N244" s="38">
        <v>3.3600000000000003</v>
      </c>
      <c r="O244" s="38">
        <v>0</v>
      </c>
      <c r="P244" s="141" t="s">
        <v>65</v>
      </c>
      <c r="Q244" s="38">
        <v>18000</v>
      </c>
      <c r="R244" s="38"/>
      <c r="S244" s="38"/>
      <c r="T244" s="38"/>
      <c r="U244" s="38"/>
      <c r="V244" s="38"/>
      <c r="W244" s="38"/>
      <c r="X244" s="38"/>
      <c r="Y244" s="30"/>
    </row>
    <row r="245" spans="1:25" s="14" customFormat="1" x14ac:dyDescent="0.35">
      <c r="A245" s="30" t="s">
        <v>119</v>
      </c>
      <c r="B245" s="30" t="s">
        <v>125</v>
      </c>
      <c r="C245" s="138" t="s">
        <v>124</v>
      </c>
      <c r="D245" s="30" t="s">
        <v>121</v>
      </c>
      <c r="E245" s="30"/>
      <c r="F245" s="30" t="s">
        <v>11</v>
      </c>
      <c r="G245" s="38">
        <v>45000</v>
      </c>
      <c r="H245" s="38">
        <v>15000</v>
      </c>
      <c r="I245" s="38">
        <v>20</v>
      </c>
      <c r="J245" s="38">
        <v>35</v>
      </c>
      <c r="K245" s="38">
        <v>10</v>
      </c>
      <c r="L245" s="38">
        <v>100</v>
      </c>
      <c r="M245" s="38">
        <v>80</v>
      </c>
      <c r="N245" s="38">
        <v>3.3600000000000003</v>
      </c>
      <c r="O245" s="38">
        <v>0</v>
      </c>
      <c r="P245" s="141" t="s">
        <v>65</v>
      </c>
      <c r="Q245" s="38">
        <v>18000</v>
      </c>
      <c r="R245" s="38"/>
      <c r="S245" s="38"/>
      <c r="T245" s="38"/>
      <c r="U245" s="38"/>
      <c r="V245" s="38"/>
      <c r="W245" s="38"/>
      <c r="X245" s="38"/>
      <c r="Y245" s="30"/>
    </row>
    <row r="246" spans="1:25" s="14" customFormat="1" x14ac:dyDescent="0.35">
      <c r="A246" s="30" t="s">
        <v>119</v>
      </c>
      <c r="B246" s="30" t="s">
        <v>125</v>
      </c>
      <c r="C246" s="138" t="s">
        <v>124</v>
      </c>
      <c r="D246" s="30" t="s">
        <v>121</v>
      </c>
      <c r="E246" s="30"/>
      <c r="F246" s="30" t="s">
        <v>11</v>
      </c>
      <c r="G246" s="38">
        <v>45000</v>
      </c>
      <c r="H246" s="38">
        <v>15000</v>
      </c>
      <c r="I246" s="38">
        <v>20</v>
      </c>
      <c r="J246" s="38">
        <v>35</v>
      </c>
      <c r="K246" s="38">
        <v>10</v>
      </c>
      <c r="L246" s="38">
        <v>100</v>
      </c>
      <c r="M246" s="38">
        <v>80</v>
      </c>
      <c r="N246" s="38">
        <v>3.3600000000000003</v>
      </c>
      <c r="O246" s="38">
        <v>0</v>
      </c>
      <c r="P246" s="141" t="s">
        <v>65</v>
      </c>
      <c r="Q246" s="38">
        <v>18000</v>
      </c>
      <c r="R246" s="38"/>
      <c r="S246" s="38"/>
      <c r="T246" s="38"/>
      <c r="U246" s="38"/>
      <c r="V246" s="38"/>
      <c r="W246" s="38"/>
      <c r="X246" s="38"/>
      <c r="Y246" s="30"/>
    </row>
    <row r="247" spans="1:25" s="14" customFormat="1" x14ac:dyDescent="0.35">
      <c r="A247" s="30" t="s">
        <v>119</v>
      </c>
      <c r="B247" s="30" t="s">
        <v>125</v>
      </c>
      <c r="C247" s="138" t="s">
        <v>124</v>
      </c>
      <c r="D247" s="30" t="s">
        <v>121</v>
      </c>
      <c r="E247" s="30"/>
      <c r="F247" s="30" t="s">
        <v>11</v>
      </c>
      <c r="G247" s="38">
        <v>45000</v>
      </c>
      <c r="H247" s="38">
        <v>15000</v>
      </c>
      <c r="I247" s="38">
        <v>20</v>
      </c>
      <c r="J247" s="38">
        <v>35</v>
      </c>
      <c r="K247" s="38">
        <v>10</v>
      </c>
      <c r="L247" s="38">
        <v>100</v>
      </c>
      <c r="M247" s="38">
        <v>80</v>
      </c>
      <c r="N247" s="38">
        <v>3.3600000000000003</v>
      </c>
      <c r="O247" s="38">
        <v>0</v>
      </c>
      <c r="P247" s="141" t="s">
        <v>65</v>
      </c>
      <c r="Q247" s="38">
        <v>18000</v>
      </c>
      <c r="R247" s="38"/>
      <c r="S247" s="38"/>
      <c r="T247" s="38"/>
      <c r="U247" s="38"/>
      <c r="V247" s="38"/>
      <c r="W247" s="38"/>
      <c r="X247" s="38"/>
      <c r="Y247" s="30"/>
    </row>
    <row r="248" spans="1:25" s="14" customFormat="1" x14ac:dyDescent="0.35">
      <c r="A248" s="30" t="s">
        <v>119</v>
      </c>
      <c r="B248" s="30" t="s">
        <v>125</v>
      </c>
      <c r="C248" s="138" t="s">
        <v>124</v>
      </c>
      <c r="D248" s="30" t="s">
        <v>121</v>
      </c>
      <c r="E248" s="30"/>
      <c r="F248" s="30" t="s">
        <v>11</v>
      </c>
      <c r="G248" s="38">
        <v>45000</v>
      </c>
      <c r="H248" s="38">
        <v>15000</v>
      </c>
      <c r="I248" s="38">
        <v>20</v>
      </c>
      <c r="J248" s="38">
        <v>35</v>
      </c>
      <c r="K248" s="38">
        <v>10</v>
      </c>
      <c r="L248" s="38">
        <v>100</v>
      </c>
      <c r="M248" s="38">
        <v>80</v>
      </c>
      <c r="N248" s="38">
        <v>3.3600000000000003</v>
      </c>
      <c r="O248" s="38">
        <v>0</v>
      </c>
      <c r="P248" s="141" t="s">
        <v>65</v>
      </c>
      <c r="Q248" s="38">
        <v>18000</v>
      </c>
      <c r="R248" s="38"/>
      <c r="S248" s="38"/>
      <c r="T248" s="38"/>
      <c r="U248" s="38"/>
      <c r="V248" s="38"/>
      <c r="W248" s="38"/>
      <c r="X248" s="38"/>
      <c r="Y248" s="30"/>
    </row>
    <row r="249" spans="1:25" s="14" customFormat="1" x14ac:dyDescent="0.35">
      <c r="A249" s="30" t="s">
        <v>119</v>
      </c>
      <c r="B249" s="30" t="s">
        <v>125</v>
      </c>
      <c r="C249" s="138" t="s">
        <v>124</v>
      </c>
      <c r="D249" s="30" t="s">
        <v>121</v>
      </c>
      <c r="E249" s="30"/>
      <c r="F249" s="30" t="s">
        <v>11</v>
      </c>
      <c r="G249" s="38">
        <v>60000</v>
      </c>
      <c r="H249" s="38">
        <v>20000</v>
      </c>
      <c r="I249" s="38">
        <v>20</v>
      </c>
      <c r="J249" s="38">
        <v>35</v>
      </c>
      <c r="K249" s="38">
        <v>22</v>
      </c>
      <c r="L249" s="38">
        <v>150</v>
      </c>
      <c r="M249" s="38">
        <v>100</v>
      </c>
      <c r="N249" s="38">
        <v>3.7333333333333329</v>
      </c>
      <c r="O249" s="38">
        <v>0</v>
      </c>
      <c r="P249" s="141" t="s">
        <v>65</v>
      </c>
      <c r="Q249" s="38">
        <v>22000</v>
      </c>
      <c r="R249" s="38"/>
      <c r="S249" s="38"/>
      <c r="T249" s="38"/>
      <c r="U249" s="38"/>
      <c r="V249" s="38"/>
      <c r="W249" s="38"/>
      <c r="X249" s="38"/>
      <c r="Y249" s="30"/>
    </row>
    <row r="250" spans="1:25" s="14" customFormat="1" x14ac:dyDescent="0.35">
      <c r="A250" s="30" t="s">
        <v>119</v>
      </c>
      <c r="B250" s="30" t="s">
        <v>125</v>
      </c>
      <c r="C250" s="138" t="s">
        <v>124</v>
      </c>
      <c r="D250" s="30" t="s">
        <v>121</v>
      </c>
      <c r="E250" s="30"/>
      <c r="F250" s="30" t="s">
        <v>11</v>
      </c>
      <c r="G250" s="38">
        <v>60000</v>
      </c>
      <c r="H250" s="38">
        <v>20000</v>
      </c>
      <c r="I250" s="38">
        <v>20</v>
      </c>
      <c r="J250" s="38">
        <v>35</v>
      </c>
      <c r="K250" s="38">
        <v>22</v>
      </c>
      <c r="L250" s="38">
        <v>150</v>
      </c>
      <c r="M250" s="38">
        <v>100</v>
      </c>
      <c r="N250" s="38">
        <v>3.7333333333333329</v>
      </c>
      <c r="O250" s="38">
        <v>0</v>
      </c>
      <c r="P250" s="141" t="s">
        <v>65</v>
      </c>
      <c r="Q250" s="38">
        <v>22000</v>
      </c>
      <c r="R250" s="38"/>
      <c r="S250" s="38"/>
      <c r="T250" s="38"/>
      <c r="U250" s="38"/>
      <c r="V250" s="38"/>
      <c r="W250" s="38"/>
      <c r="X250" s="38"/>
      <c r="Y250" s="30"/>
    </row>
    <row r="251" spans="1:25" s="14" customFormat="1" x14ac:dyDescent="0.35">
      <c r="A251" s="30" t="s">
        <v>119</v>
      </c>
      <c r="B251" s="30" t="s">
        <v>125</v>
      </c>
      <c r="C251" s="138" t="s">
        <v>124</v>
      </c>
      <c r="D251" s="30" t="s">
        <v>121</v>
      </c>
      <c r="E251" s="30"/>
      <c r="F251" s="30" t="s">
        <v>11</v>
      </c>
      <c r="G251" s="38">
        <v>60000</v>
      </c>
      <c r="H251" s="38">
        <v>20000</v>
      </c>
      <c r="I251" s="38">
        <v>20</v>
      </c>
      <c r="J251" s="38">
        <v>35</v>
      </c>
      <c r="K251" s="38">
        <v>22</v>
      </c>
      <c r="L251" s="38">
        <v>150</v>
      </c>
      <c r="M251" s="38">
        <v>100</v>
      </c>
      <c r="N251" s="38">
        <v>3.7333333333333329</v>
      </c>
      <c r="O251" s="38">
        <v>0</v>
      </c>
      <c r="P251" s="141" t="s">
        <v>65</v>
      </c>
      <c r="Q251" s="38">
        <v>22000</v>
      </c>
      <c r="R251" s="38"/>
      <c r="S251" s="38"/>
      <c r="T251" s="38"/>
      <c r="U251" s="38"/>
      <c r="V251" s="38"/>
      <c r="W251" s="38"/>
      <c r="X251" s="38"/>
      <c r="Y251" s="30"/>
    </row>
    <row r="252" spans="1:25" s="14" customFormat="1" x14ac:dyDescent="0.35">
      <c r="A252" s="30" t="s">
        <v>119</v>
      </c>
      <c r="B252" s="30" t="s">
        <v>125</v>
      </c>
      <c r="C252" s="138" t="s">
        <v>124</v>
      </c>
      <c r="D252" s="30" t="s">
        <v>121</v>
      </c>
      <c r="E252" s="30"/>
      <c r="F252" s="30" t="s">
        <v>11</v>
      </c>
      <c r="G252" s="38">
        <v>60000</v>
      </c>
      <c r="H252" s="38">
        <v>20000</v>
      </c>
      <c r="I252" s="38">
        <v>20</v>
      </c>
      <c r="J252" s="38">
        <v>35</v>
      </c>
      <c r="K252" s="38">
        <v>22</v>
      </c>
      <c r="L252" s="38">
        <v>150</v>
      </c>
      <c r="M252" s="38">
        <v>100</v>
      </c>
      <c r="N252" s="38">
        <v>3.7333333333333329</v>
      </c>
      <c r="O252" s="38">
        <v>0</v>
      </c>
      <c r="P252" s="141" t="s">
        <v>65</v>
      </c>
      <c r="Q252" s="38">
        <v>22000</v>
      </c>
      <c r="R252" s="38"/>
      <c r="S252" s="38"/>
      <c r="T252" s="38"/>
      <c r="U252" s="38"/>
      <c r="V252" s="38"/>
      <c r="W252" s="38"/>
      <c r="X252" s="38"/>
      <c r="Y252" s="30"/>
    </row>
    <row r="253" spans="1:25" s="14" customFormat="1" x14ac:dyDescent="0.35">
      <c r="A253" s="30" t="s">
        <v>119</v>
      </c>
      <c r="B253" s="30" t="s">
        <v>125</v>
      </c>
      <c r="C253" s="138" t="s">
        <v>124</v>
      </c>
      <c r="D253" s="30" t="s">
        <v>121</v>
      </c>
      <c r="E253" s="30"/>
      <c r="F253" s="30" t="s">
        <v>11</v>
      </c>
      <c r="G253" s="38">
        <v>60000</v>
      </c>
      <c r="H253" s="38">
        <v>20000</v>
      </c>
      <c r="I253" s="38">
        <v>20</v>
      </c>
      <c r="J253" s="38">
        <v>35</v>
      </c>
      <c r="K253" s="38">
        <v>22</v>
      </c>
      <c r="L253" s="38">
        <v>150</v>
      </c>
      <c r="M253" s="38">
        <v>100</v>
      </c>
      <c r="N253" s="38">
        <v>3.7333333333333329</v>
      </c>
      <c r="O253" s="38">
        <v>0</v>
      </c>
      <c r="P253" s="141" t="s">
        <v>65</v>
      </c>
      <c r="Q253" s="38">
        <v>22000</v>
      </c>
      <c r="R253" s="38"/>
      <c r="S253" s="38"/>
      <c r="T253" s="38"/>
      <c r="U253" s="38"/>
      <c r="V253" s="38"/>
      <c r="W253" s="38"/>
      <c r="X253" s="38"/>
      <c r="Y253" s="30"/>
    </row>
    <row r="254" spans="1:25" s="14" customFormat="1" x14ac:dyDescent="0.35">
      <c r="A254" s="30" t="s">
        <v>119</v>
      </c>
      <c r="B254" s="30" t="s">
        <v>125</v>
      </c>
      <c r="C254" s="138" t="s">
        <v>124</v>
      </c>
      <c r="D254" s="30" t="s">
        <v>121</v>
      </c>
      <c r="E254" s="30"/>
      <c r="F254" s="30" t="s">
        <v>11</v>
      </c>
      <c r="G254" s="38">
        <v>60000</v>
      </c>
      <c r="H254" s="38">
        <v>20000</v>
      </c>
      <c r="I254" s="38">
        <v>20</v>
      </c>
      <c r="J254" s="38">
        <v>35</v>
      </c>
      <c r="K254" s="38">
        <v>22</v>
      </c>
      <c r="L254" s="38">
        <v>150</v>
      </c>
      <c r="M254" s="38">
        <v>100</v>
      </c>
      <c r="N254" s="38">
        <v>3.7333333333333329</v>
      </c>
      <c r="O254" s="38">
        <v>0</v>
      </c>
      <c r="P254" s="141" t="s">
        <v>65</v>
      </c>
      <c r="Q254" s="38">
        <v>22000</v>
      </c>
      <c r="R254" s="38"/>
      <c r="S254" s="38"/>
      <c r="T254" s="38"/>
      <c r="U254" s="38"/>
      <c r="V254" s="38"/>
      <c r="W254" s="38"/>
      <c r="X254" s="38"/>
      <c r="Y254" s="30"/>
    </row>
    <row r="255" spans="1:25" s="14" customFormat="1" x14ac:dyDescent="0.35">
      <c r="A255" s="30" t="s">
        <v>119</v>
      </c>
      <c r="B255" s="30" t="s">
        <v>125</v>
      </c>
      <c r="C255" s="138" t="s">
        <v>124</v>
      </c>
      <c r="D255" s="30" t="s">
        <v>121</v>
      </c>
      <c r="E255" s="30"/>
      <c r="F255" s="30" t="s">
        <v>11</v>
      </c>
      <c r="G255" s="38">
        <v>60000</v>
      </c>
      <c r="H255" s="38">
        <v>20000</v>
      </c>
      <c r="I255" s="38">
        <v>20</v>
      </c>
      <c r="J255" s="38">
        <v>35</v>
      </c>
      <c r="K255" s="38">
        <v>22</v>
      </c>
      <c r="L255" s="38">
        <v>150</v>
      </c>
      <c r="M255" s="38">
        <v>100</v>
      </c>
      <c r="N255" s="38">
        <v>3.7333333333333329</v>
      </c>
      <c r="O255" s="38">
        <v>0</v>
      </c>
      <c r="P255" s="141" t="s">
        <v>65</v>
      </c>
      <c r="Q255" s="38">
        <v>22000</v>
      </c>
      <c r="R255" s="38"/>
      <c r="S255" s="38"/>
      <c r="T255" s="38"/>
      <c r="U255" s="38"/>
      <c r="V255" s="38"/>
      <c r="W255" s="38"/>
      <c r="X255" s="38"/>
      <c r="Y255" s="30"/>
    </row>
    <row r="256" spans="1:25" s="14" customFormat="1" x14ac:dyDescent="0.35">
      <c r="A256" s="30" t="s">
        <v>119</v>
      </c>
      <c r="B256" s="30" t="s">
        <v>125</v>
      </c>
      <c r="C256" s="138" t="s">
        <v>124</v>
      </c>
      <c r="D256" s="30" t="s">
        <v>121</v>
      </c>
      <c r="E256" s="30"/>
      <c r="F256" s="30" t="s">
        <v>11</v>
      </c>
      <c r="G256" s="38">
        <v>60000</v>
      </c>
      <c r="H256" s="38">
        <v>20000</v>
      </c>
      <c r="I256" s="38">
        <v>20</v>
      </c>
      <c r="J256" s="38">
        <v>35</v>
      </c>
      <c r="K256" s="38">
        <v>22</v>
      </c>
      <c r="L256" s="38">
        <v>150</v>
      </c>
      <c r="M256" s="38">
        <v>100</v>
      </c>
      <c r="N256" s="38">
        <v>3.7333333333333329</v>
      </c>
      <c r="O256" s="38">
        <v>0</v>
      </c>
      <c r="P256" s="141" t="s">
        <v>65</v>
      </c>
      <c r="Q256" s="38">
        <v>22000</v>
      </c>
      <c r="R256" s="38"/>
      <c r="S256" s="38"/>
      <c r="T256" s="38"/>
      <c r="U256" s="38"/>
      <c r="V256" s="38"/>
      <c r="W256" s="38"/>
      <c r="X256" s="38"/>
      <c r="Y256" s="30"/>
    </row>
    <row r="257" spans="1:28" s="14" customFormat="1" x14ac:dyDescent="0.35">
      <c r="A257" s="30" t="s">
        <v>119</v>
      </c>
      <c r="B257" s="30" t="s">
        <v>125</v>
      </c>
      <c r="C257" s="138" t="s">
        <v>124</v>
      </c>
      <c r="D257" s="30" t="s">
        <v>121</v>
      </c>
      <c r="E257" s="30"/>
      <c r="F257" s="30" t="s">
        <v>11</v>
      </c>
      <c r="G257" s="38">
        <v>80000</v>
      </c>
      <c r="H257" s="38">
        <v>30000</v>
      </c>
      <c r="I257" s="38">
        <v>20</v>
      </c>
      <c r="J257" s="38">
        <v>35</v>
      </c>
      <c r="K257" s="38">
        <v>32</v>
      </c>
      <c r="L257" s="38">
        <v>350</v>
      </c>
      <c r="M257" s="38">
        <v>275</v>
      </c>
      <c r="N257" s="38">
        <v>3.2</v>
      </c>
      <c r="O257" s="38">
        <v>0</v>
      </c>
      <c r="P257" s="141" t="s">
        <v>65</v>
      </c>
      <c r="Q257" s="38">
        <v>32000</v>
      </c>
      <c r="R257" s="38"/>
      <c r="S257" s="38"/>
      <c r="T257" s="38"/>
      <c r="U257" s="38"/>
      <c r="V257" s="38"/>
      <c r="W257" s="38"/>
      <c r="X257" s="38"/>
      <c r="Y257" s="30"/>
    </row>
    <row r="258" spans="1:28" s="163" customFormat="1" x14ac:dyDescent="0.35">
      <c r="A258" s="30" t="s">
        <v>119</v>
      </c>
      <c r="B258" s="30" t="s">
        <v>125</v>
      </c>
      <c r="C258" s="138" t="s">
        <v>124</v>
      </c>
      <c r="D258" s="30" t="s">
        <v>121</v>
      </c>
      <c r="E258" s="30"/>
      <c r="F258" s="30" t="s">
        <v>11</v>
      </c>
      <c r="G258" s="38">
        <v>80000</v>
      </c>
      <c r="H258" s="38">
        <v>30000</v>
      </c>
      <c r="I258" s="38">
        <v>20</v>
      </c>
      <c r="J258" s="38">
        <v>35</v>
      </c>
      <c r="K258" s="38">
        <v>32</v>
      </c>
      <c r="L258" s="38">
        <v>350</v>
      </c>
      <c r="M258" s="38">
        <v>275</v>
      </c>
      <c r="N258" s="38">
        <v>3.2</v>
      </c>
      <c r="O258" s="38">
        <v>0</v>
      </c>
      <c r="P258" s="141" t="s">
        <v>65</v>
      </c>
      <c r="Q258" s="38">
        <v>32000</v>
      </c>
      <c r="R258" s="38"/>
      <c r="S258" s="38"/>
      <c r="T258" s="38"/>
      <c r="U258" s="38"/>
      <c r="V258" s="38"/>
      <c r="W258" s="38"/>
      <c r="X258" s="38"/>
      <c r="Y258" s="30"/>
    </row>
    <row r="259" spans="1:28" s="14" customFormat="1" x14ac:dyDescent="0.35">
      <c r="A259" s="30" t="s">
        <v>119</v>
      </c>
      <c r="B259" s="30" t="s">
        <v>126</v>
      </c>
      <c r="C259" s="30"/>
      <c r="D259" s="30" t="s">
        <v>121</v>
      </c>
      <c r="E259" s="116" t="s">
        <v>123</v>
      </c>
      <c r="F259" s="30" t="s">
        <v>6</v>
      </c>
      <c r="G259" s="38">
        <v>1.23</v>
      </c>
      <c r="H259" s="38">
        <v>0.68</v>
      </c>
      <c r="I259" s="38">
        <v>60.8</v>
      </c>
      <c r="J259" s="38">
        <v>73.400000000000006</v>
      </c>
      <c r="K259" s="142">
        <v>4</v>
      </c>
      <c r="L259" s="38">
        <v>65.5</v>
      </c>
      <c r="M259" s="38">
        <v>43.7</v>
      </c>
      <c r="N259" s="38"/>
      <c r="O259" s="38"/>
      <c r="P259" s="141" t="s">
        <v>66</v>
      </c>
      <c r="Q259" s="38"/>
      <c r="R259" s="38"/>
      <c r="S259" s="38"/>
      <c r="T259" s="38"/>
      <c r="U259" s="38"/>
      <c r="V259" s="38"/>
      <c r="W259" s="38"/>
      <c r="X259" s="38"/>
      <c r="Y259" s="30"/>
    </row>
    <row r="260" spans="1:28" s="14" customFormat="1" x14ac:dyDescent="0.35">
      <c r="A260" s="30" t="s">
        <v>119</v>
      </c>
      <c r="B260" s="30" t="s">
        <v>126</v>
      </c>
      <c r="C260" s="30"/>
      <c r="D260" s="30" t="s">
        <v>121</v>
      </c>
      <c r="E260" s="116" t="s">
        <v>123</v>
      </c>
      <c r="F260" s="30" t="s">
        <v>6</v>
      </c>
      <c r="G260" s="38">
        <v>0.89</v>
      </c>
      <c r="H260" s="38">
        <v>0.61</v>
      </c>
      <c r="I260" s="38">
        <v>69.099999999999994</v>
      </c>
      <c r="J260" s="38">
        <v>81</v>
      </c>
      <c r="K260" s="142">
        <v>4</v>
      </c>
      <c r="L260" s="38">
        <v>61</v>
      </c>
      <c r="M260" s="38">
        <v>44.3</v>
      </c>
      <c r="N260" s="38"/>
      <c r="O260" s="38"/>
      <c r="P260" s="141" t="s">
        <v>66</v>
      </c>
      <c r="Q260" s="38"/>
      <c r="R260" s="38"/>
      <c r="S260" s="38"/>
      <c r="T260" s="38"/>
      <c r="U260" s="38"/>
      <c r="V260" s="38"/>
      <c r="W260" s="38"/>
      <c r="X260" s="38"/>
      <c r="Y260" s="30"/>
    </row>
    <row r="261" spans="1:28" s="14" customFormat="1" x14ac:dyDescent="0.35">
      <c r="A261" s="30" t="s">
        <v>119</v>
      </c>
      <c r="B261" s="30" t="s">
        <v>127</v>
      </c>
      <c r="C261" s="30"/>
      <c r="D261" s="30" t="s">
        <v>121</v>
      </c>
      <c r="E261" s="116" t="s">
        <v>128</v>
      </c>
      <c r="F261" s="30" t="s">
        <v>6</v>
      </c>
      <c r="G261" s="38">
        <v>0.51</v>
      </c>
      <c r="H261" s="38">
        <v>0.436</v>
      </c>
      <c r="I261" s="38">
        <v>52</v>
      </c>
      <c r="J261" s="38">
        <v>75</v>
      </c>
      <c r="K261" s="142">
        <v>4</v>
      </c>
      <c r="L261" s="38">
        <v>49.38</v>
      </c>
      <c r="M261" s="38">
        <v>23.95</v>
      </c>
      <c r="N261" s="38"/>
      <c r="O261" s="38"/>
      <c r="P261" s="141" t="s">
        <v>66</v>
      </c>
      <c r="Q261" s="38"/>
      <c r="R261" s="38"/>
      <c r="S261" s="38"/>
      <c r="T261" s="38"/>
      <c r="U261" s="38"/>
      <c r="V261" s="38"/>
      <c r="W261" s="38"/>
      <c r="X261" s="38"/>
      <c r="Y261" s="30"/>
    </row>
    <row r="262" spans="1:28" ht="15.65" customHeight="1" x14ac:dyDescent="0.35">
      <c r="A262" s="30" t="s">
        <v>119</v>
      </c>
      <c r="B262" s="30" t="s">
        <v>127</v>
      </c>
      <c r="D262" s="30" t="s">
        <v>121</v>
      </c>
      <c r="E262" s="116" t="s">
        <v>128</v>
      </c>
      <c r="F262" s="30" t="s">
        <v>6</v>
      </c>
      <c r="G262" s="38">
        <v>0.64</v>
      </c>
      <c r="H262" s="38">
        <v>0.42</v>
      </c>
      <c r="I262" s="38">
        <v>46</v>
      </c>
      <c r="J262" s="38">
        <v>70</v>
      </c>
      <c r="K262" s="115">
        <v>3</v>
      </c>
      <c r="L262" s="30">
        <v>43</v>
      </c>
      <c r="M262" s="30">
        <v>22</v>
      </c>
      <c r="N262" s="38"/>
      <c r="O262" s="38"/>
      <c r="P262" s="141" t="s">
        <v>66</v>
      </c>
      <c r="Q262" s="30">
        <v>0.41</v>
      </c>
      <c r="T262" s="38"/>
      <c r="U262" s="38"/>
      <c r="V262" s="38"/>
      <c r="W262" s="38"/>
      <c r="X262" s="44"/>
      <c r="Y262" s="28"/>
      <c r="Z262" s="28"/>
      <c r="AA262" s="28"/>
      <c r="AB262" s="28"/>
    </row>
    <row r="263" spans="1:28" s="14" customFormat="1" x14ac:dyDescent="0.35">
      <c r="A263" s="30" t="s">
        <v>119</v>
      </c>
      <c r="B263" s="30" t="s">
        <v>127</v>
      </c>
      <c r="C263" s="30"/>
      <c r="D263" s="30" t="s">
        <v>121</v>
      </c>
      <c r="E263" s="116" t="s">
        <v>128</v>
      </c>
      <c r="F263" s="30" t="s">
        <v>6</v>
      </c>
      <c r="G263" s="38">
        <v>2.86</v>
      </c>
      <c r="H263" s="38">
        <v>0.78</v>
      </c>
      <c r="I263" s="38">
        <v>51.366666666666703</v>
      </c>
      <c r="J263" s="38">
        <v>70.899999999999991</v>
      </c>
      <c r="K263" s="142">
        <v>5</v>
      </c>
      <c r="L263" s="38"/>
      <c r="M263" s="38"/>
      <c r="N263" s="38"/>
      <c r="O263" s="38"/>
      <c r="P263" s="141" t="s">
        <v>66</v>
      </c>
      <c r="Q263" s="38"/>
      <c r="R263" s="38"/>
      <c r="S263" s="38"/>
      <c r="T263" s="38"/>
      <c r="U263" s="38"/>
      <c r="V263" s="38"/>
      <c r="W263" s="38"/>
      <c r="X263" s="38"/>
      <c r="Y263" s="30"/>
    </row>
    <row r="264" spans="1:28" s="14" customFormat="1" x14ac:dyDescent="0.35">
      <c r="A264" s="30" t="s">
        <v>119</v>
      </c>
      <c r="B264" s="30" t="s">
        <v>126</v>
      </c>
      <c r="C264" s="30"/>
      <c r="D264" s="30" t="s">
        <v>121</v>
      </c>
      <c r="E264" s="116" t="s">
        <v>123</v>
      </c>
      <c r="F264" s="30" t="s">
        <v>6</v>
      </c>
      <c r="G264" s="38">
        <v>1.69</v>
      </c>
      <c r="H264" s="38">
        <v>0.56999999999999995</v>
      </c>
      <c r="I264" s="38">
        <v>62</v>
      </c>
      <c r="J264" s="38">
        <v>73.7</v>
      </c>
      <c r="K264" s="142">
        <v>3</v>
      </c>
      <c r="L264" s="38"/>
      <c r="M264" s="38"/>
      <c r="N264" s="38"/>
      <c r="O264" s="38"/>
      <c r="P264" s="141" t="s">
        <v>66</v>
      </c>
      <c r="Q264" s="38"/>
      <c r="R264" s="38"/>
      <c r="S264" s="38"/>
      <c r="T264" s="38"/>
      <c r="U264" s="38"/>
      <c r="V264" s="38"/>
      <c r="W264" s="38"/>
      <c r="X264" s="38"/>
      <c r="Y264" s="30"/>
    </row>
    <row r="265" spans="1:28" s="14" customFormat="1" x14ac:dyDescent="0.35">
      <c r="A265" s="30" t="s">
        <v>119</v>
      </c>
      <c r="B265" s="30" t="s">
        <v>126</v>
      </c>
      <c r="C265" s="30"/>
      <c r="D265" s="30" t="s">
        <v>121</v>
      </c>
      <c r="E265" s="116" t="s">
        <v>123</v>
      </c>
      <c r="F265" s="30" t="s">
        <v>6</v>
      </c>
      <c r="G265" s="38">
        <v>3.16</v>
      </c>
      <c r="H265" s="38">
        <v>0.91</v>
      </c>
      <c r="I265" s="38">
        <v>34</v>
      </c>
      <c r="J265" s="38">
        <v>72.2</v>
      </c>
      <c r="K265" s="142">
        <v>4</v>
      </c>
      <c r="L265" s="38">
        <v>47</v>
      </c>
      <c r="M265" s="38">
        <v>41</v>
      </c>
      <c r="N265" s="38"/>
      <c r="O265" s="38"/>
      <c r="P265" s="141" t="s">
        <v>65</v>
      </c>
      <c r="Q265" s="38"/>
      <c r="R265" s="38"/>
      <c r="S265" s="38"/>
      <c r="T265" s="38"/>
      <c r="U265" s="38"/>
      <c r="V265" s="38"/>
      <c r="W265" s="38"/>
      <c r="X265" s="38"/>
      <c r="Y265" s="30"/>
    </row>
    <row r="266" spans="1:28" s="14" customFormat="1" x14ac:dyDescent="0.35">
      <c r="A266" s="30" t="s">
        <v>119</v>
      </c>
      <c r="B266" s="30" t="s">
        <v>126</v>
      </c>
      <c r="C266" s="30"/>
      <c r="D266" s="30" t="s">
        <v>121</v>
      </c>
      <c r="E266" s="116" t="s">
        <v>123</v>
      </c>
      <c r="F266" s="30" t="s">
        <v>6</v>
      </c>
      <c r="G266" s="38">
        <v>1.1000000000000001</v>
      </c>
      <c r="H266" s="38">
        <v>0.6</v>
      </c>
      <c r="I266" s="38">
        <v>57.9</v>
      </c>
      <c r="J266" s="38"/>
      <c r="K266" s="142">
        <v>3</v>
      </c>
      <c r="L266" s="38">
        <v>49.9</v>
      </c>
      <c r="M266" s="38" t="s">
        <v>20</v>
      </c>
      <c r="N266" s="38"/>
      <c r="O266" s="38"/>
      <c r="P266" s="141" t="s">
        <v>65</v>
      </c>
      <c r="Q266" s="38"/>
      <c r="R266" s="38"/>
      <c r="S266" s="38"/>
      <c r="T266" s="38"/>
      <c r="U266" s="38"/>
      <c r="V266" s="38"/>
      <c r="W266" s="38"/>
      <c r="X266" s="38"/>
      <c r="Y266" s="30"/>
    </row>
    <row r="267" spans="1:28" s="14" customFormat="1" x14ac:dyDescent="0.35">
      <c r="A267" s="30" t="s">
        <v>119</v>
      </c>
      <c r="B267" s="30" t="s">
        <v>127</v>
      </c>
      <c r="C267" s="30"/>
      <c r="D267" s="30" t="s">
        <v>121</v>
      </c>
      <c r="E267" s="116" t="s">
        <v>128</v>
      </c>
      <c r="F267" s="30" t="s">
        <v>6</v>
      </c>
      <c r="G267" s="38">
        <v>3.08</v>
      </c>
      <c r="H267" s="38">
        <v>0.76800000000000002</v>
      </c>
      <c r="I267" s="38"/>
      <c r="J267" s="38"/>
      <c r="K267" s="142">
        <v>4</v>
      </c>
      <c r="L267" s="38"/>
      <c r="M267" s="38"/>
      <c r="N267" s="38"/>
      <c r="O267" s="38"/>
      <c r="P267" s="141" t="s">
        <v>65</v>
      </c>
      <c r="Q267" s="38"/>
      <c r="R267" s="38"/>
      <c r="S267" s="38"/>
      <c r="T267" s="38"/>
      <c r="U267" s="38"/>
      <c r="V267" s="38"/>
      <c r="W267" s="38"/>
      <c r="X267" s="38"/>
      <c r="Y267" s="30"/>
    </row>
    <row r="268" spans="1:28" s="14" customFormat="1" x14ac:dyDescent="0.35">
      <c r="A268" s="30" t="s">
        <v>119</v>
      </c>
      <c r="B268" s="30" t="s">
        <v>127</v>
      </c>
      <c r="C268" s="30"/>
      <c r="D268" s="30" t="s">
        <v>121</v>
      </c>
      <c r="E268" s="116" t="s">
        <v>128</v>
      </c>
      <c r="F268" s="30" t="s">
        <v>6</v>
      </c>
      <c r="G268" s="38">
        <v>4.9749999999999996</v>
      </c>
      <c r="H268" s="38">
        <v>0.71599999999999997</v>
      </c>
      <c r="I268" s="38"/>
      <c r="J268" s="38"/>
      <c r="K268" s="142">
        <v>4</v>
      </c>
      <c r="L268" s="38"/>
      <c r="M268" s="38"/>
      <c r="N268" s="38"/>
      <c r="O268" s="38"/>
      <c r="P268" s="141" t="s">
        <v>65</v>
      </c>
      <c r="Q268" s="38"/>
      <c r="R268" s="38"/>
      <c r="S268" s="38"/>
      <c r="T268" s="38"/>
      <c r="U268" s="38"/>
      <c r="V268" s="38"/>
      <c r="W268" s="38"/>
      <c r="X268" s="38"/>
      <c r="Y268" s="30"/>
    </row>
    <row r="269" spans="1:28" s="14" customFormat="1" x14ac:dyDescent="0.35">
      <c r="A269" s="30" t="s">
        <v>119</v>
      </c>
      <c r="B269" s="30" t="s">
        <v>127</v>
      </c>
      <c r="C269" s="30"/>
      <c r="D269" s="30" t="s">
        <v>121</v>
      </c>
      <c r="E269" s="116" t="s">
        <v>128</v>
      </c>
      <c r="F269" s="30" t="s">
        <v>6</v>
      </c>
      <c r="G269" s="38">
        <v>1.33</v>
      </c>
      <c r="H269" s="38">
        <v>0.76</v>
      </c>
      <c r="I269" s="38">
        <v>49.4</v>
      </c>
      <c r="J269" s="38">
        <v>60</v>
      </c>
      <c r="K269" s="142">
        <v>4</v>
      </c>
      <c r="L269" s="38">
        <v>37.799999999999997</v>
      </c>
      <c r="M269" s="38">
        <v>20.2</v>
      </c>
      <c r="N269" s="38"/>
      <c r="O269" s="38"/>
      <c r="P269" s="141" t="s">
        <v>65</v>
      </c>
      <c r="Q269" s="38"/>
      <c r="R269" s="38"/>
      <c r="S269" s="38"/>
      <c r="T269" s="38"/>
      <c r="U269" s="38"/>
      <c r="V269" s="38"/>
      <c r="W269" s="38"/>
      <c r="X269" s="38"/>
      <c r="Y269" s="30"/>
    </row>
    <row r="270" spans="1:28" s="14" customFormat="1" x14ac:dyDescent="0.35">
      <c r="A270" s="30" t="s">
        <v>119</v>
      </c>
      <c r="B270" s="30" t="s">
        <v>127</v>
      </c>
      <c r="C270" s="30" t="s">
        <v>129</v>
      </c>
      <c r="D270" s="30" t="s">
        <v>121</v>
      </c>
      <c r="E270" s="116" t="s">
        <v>128</v>
      </c>
      <c r="F270" s="30" t="s">
        <v>6</v>
      </c>
      <c r="G270" s="38">
        <v>2.2164285714285712</v>
      </c>
      <c r="H270" s="38">
        <v>0.70699999999999985</v>
      </c>
      <c r="I270" s="38">
        <v>47.575000000000003</v>
      </c>
      <c r="J270" s="38">
        <v>64.066666666666663</v>
      </c>
      <c r="K270" s="142">
        <v>4</v>
      </c>
      <c r="L270" s="38">
        <v>44.9</v>
      </c>
      <c r="M270" s="38">
        <v>30.6</v>
      </c>
      <c r="N270" s="38"/>
      <c r="O270" s="38"/>
      <c r="P270" s="141" t="s">
        <v>65</v>
      </c>
      <c r="Q270" s="38"/>
      <c r="R270" s="38"/>
      <c r="S270" s="38"/>
      <c r="T270" s="38"/>
      <c r="U270" s="38"/>
      <c r="V270" s="38"/>
      <c r="W270" s="38"/>
      <c r="X270" s="38"/>
      <c r="Y270" s="30"/>
    </row>
    <row r="271" spans="1:28" s="14" customFormat="1" x14ac:dyDescent="0.35">
      <c r="A271" s="30" t="s">
        <v>119</v>
      </c>
      <c r="B271" s="30" t="s">
        <v>127</v>
      </c>
      <c r="C271" s="30" t="s">
        <v>129</v>
      </c>
      <c r="D271" s="30" t="s">
        <v>121</v>
      </c>
      <c r="E271" s="116" t="s">
        <v>128</v>
      </c>
      <c r="F271" s="30" t="s">
        <v>6</v>
      </c>
      <c r="G271" s="38">
        <v>2.2164285714285712</v>
      </c>
      <c r="H271" s="38">
        <v>0.70699999999999985</v>
      </c>
      <c r="I271" s="38">
        <v>47.575000000000003</v>
      </c>
      <c r="J271" s="38">
        <v>64.066666666666663</v>
      </c>
      <c r="K271" s="142">
        <v>4</v>
      </c>
      <c r="L271" s="38">
        <v>44.9</v>
      </c>
      <c r="M271" s="38">
        <v>30.6</v>
      </c>
      <c r="N271" s="38"/>
      <c r="O271" s="38"/>
      <c r="P271" s="141" t="s">
        <v>65</v>
      </c>
      <c r="Q271" s="38"/>
      <c r="R271" s="38"/>
      <c r="S271" s="38"/>
      <c r="T271" s="38"/>
      <c r="U271" s="38"/>
      <c r="V271" s="38"/>
      <c r="W271" s="38"/>
      <c r="X271" s="38"/>
      <c r="Y271" s="30"/>
    </row>
    <row r="272" spans="1:28" s="14" customFormat="1" x14ac:dyDescent="0.35">
      <c r="A272" s="30" t="s">
        <v>119</v>
      </c>
      <c r="B272" s="30" t="s">
        <v>127</v>
      </c>
      <c r="C272" s="30" t="s">
        <v>129</v>
      </c>
      <c r="D272" s="30" t="s">
        <v>121</v>
      </c>
      <c r="E272" s="116" t="s">
        <v>128</v>
      </c>
      <c r="F272" s="30" t="s">
        <v>6</v>
      </c>
      <c r="G272" s="38">
        <v>2.2164285714285712</v>
      </c>
      <c r="H272" s="38">
        <v>0.70699999999999985</v>
      </c>
      <c r="I272" s="38">
        <v>47.575000000000003</v>
      </c>
      <c r="J272" s="38">
        <v>64.066666666666663</v>
      </c>
      <c r="K272" s="142">
        <v>4</v>
      </c>
      <c r="L272" s="38">
        <v>44.9</v>
      </c>
      <c r="M272" s="38">
        <v>30.6</v>
      </c>
      <c r="N272" s="38"/>
      <c r="O272" s="38"/>
      <c r="P272" s="141" t="s">
        <v>65</v>
      </c>
      <c r="Q272" s="38"/>
      <c r="R272" s="38"/>
      <c r="S272" s="38"/>
      <c r="T272" s="38"/>
      <c r="U272" s="38"/>
      <c r="V272" s="38"/>
      <c r="W272" s="38"/>
      <c r="X272" s="38"/>
      <c r="Y272" s="30"/>
    </row>
    <row r="273" spans="1:25" s="14" customFormat="1" x14ac:dyDescent="0.35">
      <c r="A273" s="30" t="s">
        <v>119</v>
      </c>
      <c r="B273" s="30" t="s">
        <v>127</v>
      </c>
      <c r="C273" s="30" t="s">
        <v>129</v>
      </c>
      <c r="D273" s="30" t="s">
        <v>121</v>
      </c>
      <c r="E273" s="116" t="s">
        <v>128</v>
      </c>
      <c r="F273" s="30" t="s">
        <v>6</v>
      </c>
      <c r="G273" s="38">
        <v>2.2164285714285712</v>
      </c>
      <c r="H273" s="38">
        <v>0.70699999999999985</v>
      </c>
      <c r="I273" s="38">
        <v>47.575000000000003</v>
      </c>
      <c r="J273" s="38">
        <v>64.066666666666663</v>
      </c>
      <c r="K273" s="142">
        <v>4</v>
      </c>
      <c r="L273" s="38">
        <v>44.9</v>
      </c>
      <c r="M273" s="38">
        <v>30.6</v>
      </c>
      <c r="N273" s="38"/>
      <c r="O273" s="38"/>
      <c r="P273" s="141" t="s">
        <v>65</v>
      </c>
      <c r="Q273" s="38"/>
      <c r="R273" s="38"/>
      <c r="S273" s="38"/>
      <c r="T273" s="38"/>
      <c r="U273" s="38"/>
      <c r="V273" s="38"/>
      <c r="W273" s="38"/>
      <c r="X273" s="38"/>
      <c r="Y273" s="30"/>
    </row>
    <row r="274" spans="1:25" s="14" customFormat="1" x14ac:dyDescent="0.35">
      <c r="A274" s="30" t="s">
        <v>119</v>
      </c>
      <c r="B274" s="30" t="s">
        <v>127</v>
      </c>
      <c r="C274" s="30"/>
      <c r="D274" s="30" t="s">
        <v>121</v>
      </c>
      <c r="E274" s="116" t="s">
        <v>128</v>
      </c>
      <c r="F274" s="30" t="s">
        <v>6</v>
      </c>
      <c r="G274" s="38">
        <v>0.54</v>
      </c>
      <c r="H274" s="38">
        <v>0.435</v>
      </c>
      <c r="I274" s="38"/>
      <c r="J274" s="38"/>
      <c r="K274" s="142">
        <v>4</v>
      </c>
      <c r="L274" s="38"/>
      <c r="M274" s="38"/>
      <c r="N274" s="38"/>
      <c r="O274" s="38"/>
      <c r="P274" s="141" t="s">
        <v>65</v>
      </c>
      <c r="Q274" s="38"/>
      <c r="R274" s="38"/>
      <c r="S274" s="38"/>
      <c r="T274" s="38"/>
      <c r="U274" s="38"/>
      <c r="V274" s="38"/>
      <c r="W274" s="38"/>
      <c r="X274" s="38"/>
      <c r="Y274" s="30"/>
    </row>
    <row r="275" spans="1:25" s="14" customFormat="1" x14ac:dyDescent="0.35">
      <c r="A275" s="30" t="s">
        <v>119</v>
      </c>
      <c r="B275" s="30" t="s">
        <v>126</v>
      </c>
      <c r="C275" s="30"/>
      <c r="D275" s="30" t="s">
        <v>121</v>
      </c>
      <c r="E275" s="116" t="s">
        <v>123</v>
      </c>
      <c r="F275" s="30" t="s">
        <v>6</v>
      </c>
      <c r="G275" s="38">
        <v>1.33</v>
      </c>
      <c r="H275" s="38">
        <v>0.76</v>
      </c>
      <c r="I275" s="38">
        <v>49</v>
      </c>
      <c r="J275" s="38">
        <v>60</v>
      </c>
      <c r="K275" s="142">
        <v>4</v>
      </c>
      <c r="L275" s="38"/>
      <c r="M275" s="38"/>
      <c r="N275" s="38"/>
      <c r="O275" s="38"/>
      <c r="P275" s="141" t="s">
        <v>65</v>
      </c>
      <c r="Q275" s="38"/>
      <c r="R275" s="38"/>
      <c r="S275" s="38"/>
      <c r="T275" s="38"/>
      <c r="U275" s="38"/>
      <c r="V275" s="38"/>
      <c r="W275" s="38"/>
      <c r="X275" s="38"/>
      <c r="Y275" s="30"/>
    </row>
    <row r="276" spans="1:25" s="14" customFormat="1" x14ac:dyDescent="0.35">
      <c r="A276" s="30" t="s">
        <v>130</v>
      </c>
      <c r="B276" s="30" t="s">
        <v>131</v>
      </c>
      <c r="C276" s="30">
        <v>2233988</v>
      </c>
      <c r="D276" s="30" t="s">
        <v>132</v>
      </c>
      <c r="E276" s="30" t="s">
        <v>122</v>
      </c>
      <c r="F276" s="30" t="s">
        <v>6</v>
      </c>
      <c r="G276" s="38"/>
      <c r="H276" s="38">
        <v>1.2</v>
      </c>
      <c r="I276" s="38"/>
      <c r="J276" s="38">
        <v>80</v>
      </c>
      <c r="K276" s="142"/>
      <c r="L276" s="38"/>
      <c r="M276" s="38">
        <v>92.55</v>
      </c>
      <c r="N276" s="38"/>
      <c r="O276" s="38"/>
      <c r="P276" s="141"/>
      <c r="Q276" s="38"/>
      <c r="R276" s="38"/>
      <c r="S276" s="38"/>
      <c r="T276" s="38" t="s">
        <v>66</v>
      </c>
      <c r="U276" s="38"/>
      <c r="V276" s="38"/>
      <c r="W276" s="38"/>
      <c r="X276" s="38"/>
      <c r="Y276" s="30"/>
    </row>
    <row r="277" spans="1:25" s="163" customFormat="1" x14ac:dyDescent="0.35">
      <c r="A277" s="30"/>
      <c r="B277" s="30"/>
      <c r="C277" s="30">
        <v>2354807</v>
      </c>
      <c r="D277" s="30" t="s">
        <v>132</v>
      </c>
      <c r="E277" s="30" t="s">
        <v>122</v>
      </c>
      <c r="F277" s="30" t="s">
        <v>6</v>
      </c>
      <c r="G277" s="30"/>
      <c r="H277" s="38">
        <v>1.37</v>
      </c>
      <c r="I277" s="30"/>
      <c r="J277" s="38">
        <v>85</v>
      </c>
      <c r="K277" s="38">
        <v>5</v>
      </c>
      <c r="L277" s="38"/>
      <c r="M277" s="38">
        <v>137.4</v>
      </c>
      <c r="N277" s="38"/>
      <c r="O277" s="38"/>
      <c r="P277" s="141"/>
      <c r="Q277" s="38"/>
      <c r="R277" s="38"/>
      <c r="S277" s="38"/>
      <c r="T277" s="38" t="s">
        <v>66</v>
      </c>
      <c r="U277" s="38"/>
      <c r="V277" s="38"/>
      <c r="W277" s="38"/>
      <c r="X277" s="38"/>
      <c r="Y277" s="30"/>
    </row>
    <row r="278" spans="1:25" s="14" customFormat="1" x14ac:dyDescent="0.35">
      <c r="A278" s="30"/>
      <c r="B278" s="30"/>
      <c r="C278" s="30"/>
      <c r="D278" s="30" t="s">
        <v>132</v>
      </c>
      <c r="E278" s="30" t="s">
        <v>122</v>
      </c>
      <c r="F278" s="30" t="s">
        <v>6</v>
      </c>
      <c r="G278" s="30"/>
      <c r="H278" s="38">
        <v>1.4</v>
      </c>
      <c r="I278" s="30"/>
      <c r="J278" s="38">
        <v>76</v>
      </c>
      <c r="K278" s="38">
        <v>5</v>
      </c>
      <c r="L278" s="38"/>
      <c r="M278" s="38">
        <v>104</v>
      </c>
      <c r="N278" s="38"/>
      <c r="O278" s="38"/>
      <c r="P278" s="141"/>
      <c r="Q278" s="38">
        <v>0.63</v>
      </c>
      <c r="R278" s="38"/>
      <c r="S278" s="38"/>
      <c r="T278" s="38" t="s">
        <v>66</v>
      </c>
      <c r="U278" s="38"/>
      <c r="V278" s="38"/>
      <c r="W278" s="38"/>
      <c r="X278" s="38"/>
      <c r="Y278" s="30"/>
    </row>
    <row r="279" spans="1:25" s="14" customFormat="1" x14ac:dyDescent="0.35">
      <c r="A279" s="30"/>
      <c r="B279" s="30"/>
      <c r="C279" s="30">
        <v>2265067</v>
      </c>
      <c r="D279" s="30" t="s">
        <v>132</v>
      </c>
      <c r="E279" s="30" t="s">
        <v>122</v>
      </c>
      <c r="F279" s="30" t="s">
        <v>6</v>
      </c>
      <c r="G279" s="30"/>
      <c r="H279" s="38">
        <v>1.34</v>
      </c>
      <c r="I279" s="30"/>
      <c r="J279" s="38">
        <v>76</v>
      </c>
      <c r="K279" s="38">
        <v>5</v>
      </c>
      <c r="L279" s="38"/>
      <c r="M279" s="38">
        <v>91.8</v>
      </c>
      <c r="N279" s="38"/>
      <c r="O279" s="38"/>
      <c r="P279" s="141"/>
      <c r="Q279" s="38">
        <v>1.53</v>
      </c>
      <c r="R279" s="38"/>
      <c r="S279" s="38"/>
      <c r="T279" s="38" t="s">
        <v>66</v>
      </c>
      <c r="U279" s="38"/>
      <c r="V279" s="38"/>
      <c r="W279" s="38"/>
      <c r="X279" s="38"/>
      <c r="Y279" s="30"/>
    </row>
    <row r="280" spans="1:25" s="14" customFormat="1" x14ac:dyDescent="0.35">
      <c r="A280" s="30"/>
      <c r="B280" s="30"/>
      <c r="C280" s="30"/>
      <c r="D280" s="30" t="s">
        <v>132</v>
      </c>
      <c r="E280" s="30" t="s">
        <v>122</v>
      </c>
      <c r="F280" s="30" t="s">
        <v>6</v>
      </c>
      <c r="G280" s="30"/>
      <c r="H280" s="38">
        <v>1.3</v>
      </c>
      <c r="I280" s="30"/>
      <c r="J280" s="38">
        <v>76</v>
      </c>
      <c r="K280" s="38">
        <v>5</v>
      </c>
      <c r="L280" s="38"/>
      <c r="M280" s="38">
        <v>92</v>
      </c>
      <c r="N280" s="38"/>
      <c r="O280" s="38"/>
      <c r="P280" s="141"/>
      <c r="Q280" s="38">
        <v>1.53</v>
      </c>
      <c r="R280" s="38"/>
      <c r="S280" s="38"/>
      <c r="T280" s="38" t="s">
        <v>66</v>
      </c>
      <c r="U280" s="38"/>
      <c r="V280" s="38"/>
      <c r="W280" s="38"/>
      <c r="X280" s="38"/>
      <c r="Y280" s="30"/>
    </row>
    <row r="281" spans="1:25" s="14" customFormat="1" x14ac:dyDescent="0.35">
      <c r="A281" s="30"/>
      <c r="B281" s="30"/>
      <c r="C281" s="30">
        <v>2305352</v>
      </c>
      <c r="D281" s="30" t="s">
        <v>132</v>
      </c>
      <c r="E281" s="30" t="s">
        <v>122</v>
      </c>
      <c r="F281" s="30" t="s">
        <v>6</v>
      </c>
      <c r="G281" s="30"/>
      <c r="H281" s="38">
        <v>1.2</v>
      </c>
      <c r="I281" s="30"/>
      <c r="J281" s="38">
        <v>84</v>
      </c>
      <c r="K281" s="38">
        <v>6</v>
      </c>
      <c r="L281" s="38"/>
      <c r="M281" s="38">
        <v>115.84</v>
      </c>
      <c r="N281" s="38"/>
      <c r="O281" s="38"/>
      <c r="P281" s="141"/>
      <c r="Q281" s="38"/>
      <c r="R281" s="38"/>
      <c r="S281" s="38"/>
      <c r="T281" s="38" t="s">
        <v>66</v>
      </c>
      <c r="U281" s="38"/>
      <c r="V281" s="38"/>
      <c r="W281" s="38"/>
      <c r="X281" s="38"/>
      <c r="Y281" s="30"/>
    </row>
    <row r="282" spans="1:25" s="14" customFormat="1" x14ac:dyDescent="0.35">
      <c r="A282" s="30"/>
      <c r="B282" s="30"/>
      <c r="C282" s="30">
        <v>2309808</v>
      </c>
      <c r="D282" s="30" t="s">
        <v>132</v>
      </c>
      <c r="E282" s="30" t="s">
        <v>122</v>
      </c>
      <c r="F282" s="30" t="s">
        <v>6</v>
      </c>
      <c r="G282" s="30"/>
      <c r="H282" s="38">
        <v>1.31</v>
      </c>
      <c r="I282" s="30"/>
      <c r="J282" s="38">
        <v>80</v>
      </c>
      <c r="K282" s="38">
        <v>6</v>
      </c>
      <c r="L282" s="38"/>
      <c r="M282" s="38">
        <v>111.8</v>
      </c>
      <c r="N282" s="38"/>
      <c r="O282" s="38"/>
      <c r="P282" s="141"/>
      <c r="Q282" s="38"/>
      <c r="R282" s="38"/>
      <c r="S282" s="38"/>
      <c r="T282" s="38" t="s">
        <v>66</v>
      </c>
      <c r="U282" s="38"/>
      <c r="V282" s="38"/>
      <c r="W282" s="38"/>
      <c r="X282" s="38"/>
      <c r="Y282" s="30"/>
    </row>
    <row r="283" spans="1:25" s="14" customFormat="1" x14ac:dyDescent="0.35">
      <c r="A283" s="30"/>
      <c r="B283" s="30"/>
      <c r="C283" s="30">
        <v>2233988</v>
      </c>
      <c r="D283" s="30" t="s">
        <v>132</v>
      </c>
      <c r="E283" s="30" t="s">
        <v>122</v>
      </c>
      <c r="F283" s="30" t="s">
        <v>6</v>
      </c>
      <c r="G283" s="30"/>
      <c r="H283" s="38">
        <v>1.2</v>
      </c>
      <c r="I283" s="30"/>
      <c r="J283" s="38">
        <v>80</v>
      </c>
      <c r="K283" s="38">
        <v>5</v>
      </c>
      <c r="L283" s="38"/>
      <c r="M283" s="38">
        <v>92.55</v>
      </c>
      <c r="N283" s="38"/>
      <c r="O283" s="38"/>
      <c r="P283" s="141"/>
      <c r="Q283" s="38"/>
      <c r="R283" s="38"/>
      <c r="S283" s="38"/>
      <c r="T283" s="38" t="s">
        <v>66</v>
      </c>
      <c r="U283" s="38"/>
      <c r="V283" s="38"/>
      <c r="W283" s="38"/>
      <c r="X283" s="38"/>
      <c r="Y283" s="30"/>
    </row>
    <row r="284" spans="1:25" s="14" customFormat="1" x14ac:dyDescent="0.35">
      <c r="A284" s="30"/>
      <c r="B284" s="30"/>
      <c r="C284" s="30"/>
      <c r="D284" s="30" t="s">
        <v>132</v>
      </c>
      <c r="E284" s="30" t="s">
        <v>122</v>
      </c>
      <c r="F284" s="30" t="s">
        <v>6</v>
      </c>
      <c r="G284" s="30"/>
      <c r="H284" s="38">
        <v>1.4</v>
      </c>
      <c r="I284" s="30"/>
      <c r="J284" s="38">
        <v>76</v>
      </c>
      <c r="K284" s="38">
        <v>5</v>
      </c>
      <c r="L284" s="38"/>
      <c r="M284" s="38">
        <v>94</v>
      </c>
      <c r="N284" s="38"/>
      <c r="O284" s="38"/>
      <c r="P284" s="141"/>
      <c r="Q284" s="38">
        <v>1.24</v>
      </c>
      <c r="R284" s="38"/>
      <c r="S284" s="38"/>
      <c r="T284" s="38" t="s">
        <v>66</v>
      </c>
      <c r="U284" s="38"/>
      <c r="V284" s="38"/>
      <c r="W284" s="38"/>
      <c r="X284" s="38"/>
      <c r="Y284" s="30"/>
    </row>
    <row r="285" spans="1:25" s="14" customFormat="1" x14ac:dyDescent="0.35">
      <c r="A285" s="30"/>
      <c r="B285" s="30"/>
      <c r="C285" s="30">
        <v>2186734</v>
      </c>
      <c r="D285" s="30" t="s">
        <v>132</v>
      </c>
      <c r="E285" s="30" t="s">
        <v>122</v>
      </c>
      <c r="F285" s="30" t="s">
        <v>6</v>
      </c>
      <c r="G285" s="30"/>
      <c r="H285" s="38">
        <v>0.95</v>
      </c>
      <c r="I285" s="30"/>
      <c r="J285" s="38">
        <v>81</v>
      </c>
      <c r="K285" s="38">
        <v>5</v>
      </c>
      <c r="L285" s="38"/>
      <c r="M285" s="38">
        <v>79.099999999999994</v>
      </c>
      <c r="N285" s="38"/>
      <c r="O285" s="38"/>
      <c r="P285" s="141"/>
      <c r="Q285" s="38"/>
      <c r="R285" s="38"/>
      <c r="S285" s="38"/>
      <c r="T285" s="38" t="s">
        <v>66</v>
      </c>
      <c r="U285" s="38"/>
      <c r="V285" s="38"/>
      <c r="W285" s="38"/>
      <c r="X285" s="38"/>
      <c r="Y285" s="30"/>
    </row>
    <row r="286" spans="1:25" s="14" customFormat="1" x14ac:dyDescent="0.35">
      <c r="A286" s="30"/>
      <c r="B286" s="30"/>
      <c r="C286" s="30"/>
      <c r="D286" s="30" t="s">
        <v>132</v>
      </c>
      <c r="E286" s="30" t="s">
        <v>122</v>
      </c>
      <c r="F286" s="30" t="s">
        <v>6</v>
      </c>
      <c r="G286" s="30"/>
      <c r="H286" s="38">
        <v>1</v>
      </c>
      <c r="I286" s="30"/>
      <c r="J286" s="38">
        <v>80</v>
      </c>
      <c r="K286" s="38">
        <v>5</v>
      </c>
      <c r="L286" s="38"/>
      <c r="M286" s="38">
        <v>82</v>
      </c>
      <c r="N286" s="38"/>
      <c r="O286" s="38"/>
      <c r="P286" s="141"/>
      <c r="Q286" s="38">
        <v>0.67</v>
      </c>
      <c r="R286" s="38"/>
      <c r="S286" s="38"/>
      <c r="T286" s="38" t="s">
        <v>66</v>
      </c>
      <c r="U286" s="38"/>
      <c r="V286" s="38"/>
      <c r="W286" s="38"/>
      <c r="X286" s="38"/>
      <c r="Y286" s="30"/>
    </row>
    <row r="287" spans="1:25" s="14" customFormat="1" x14ac:dyDescent="0.35">
      <c r="A287" s="30"/>
      <c r="B287" s="30"/>
      <c r="C287" s="30"/>
      <c r="D287" s="30" t="s">
        <v>132</v>
      </c>
      <c r="E287" s="30" t="s">
        <v>122</v>
      </c>
      <c r="F287" s="30" t="s">
        <v>6</v>
      </c>
      <c r="G287" s="30"/>
      <c r="H287" s="38">
        <v>0.8</v>
      </c>
      <c r="I287" s="30"/>
      <c r="J287" s="38">
        <v>82</v>
      </c>
      <c r="K287" s="38">
        <v>5</v>
      </c>
      <c r="L287" s="38"/>
      <c r="M287" s="38">
        <v>77</v>
      </c>
      <c r="N287" s="38"/>
      <c r="O287" s="38"/>
      <c r="P287" s="141"/>
      <c r="Q287" s="38">
        <v>0.57999999999999996</v>
      </c>
      <c r="R287" s="38"/>
      <c r="S287" s="38"/>
      <c r="T287" s="38" t="s">
        <v>66</v>
      </c>
      <c r="U287" s="38"/>
      <c r="V287" s="38"/>
      <c r="W287" s="38"/>
      <c r="X287" s="38"/>
      <c r="Y287" s="30"/>
    </row>
    <row r="288" spans="1:25" s="14" customFormat="1" x14ac:dyDescent="0.35">
      <c r="A288" s="30"/>
      <c r="B288" s="30"/>
      <c r="C288" s="30"/>
      <c r="D288" s="30" t="s">
        <v>132</v>
      </c>
      <c r="E288" s="30" t="s">
        <v>122</v>
      </c>
      <c r="F288" s="30" t="s">
        <v>6</v>
      </c>
      <c r="G288" s="30"/>
      <c r="H288" s="38">
        <v>1</v>
      </c>
      <c r="I288" s="30"/>
      <c r="J288" s="38">
        <v>76</v>
      </c>
      <c r="K288" s="38">
        <v>3</v>
      </c>
      <c r="L288" s="38"/>
      <c r="M288" s="38">
        <v>59</v>
      </c>
      <c r="N288" s="38"/>
      <c r="O288" s="38"/>
      <c r="P288" s="141"/>
      <c r="Q288" s="38">
        <v>0.75</v>
      </c>
      <c r="R288" s="38"/>
      <c r="S288" s="38"/>
      <c r="T288" s="38" t="s">
        <v>66</v>
      </c>
      <c r="U288" s="38"/>
      <c r="V288" s="38"/>
      <c r="W288" s="38"/>
      <c r="X288" s="38"/>
      <c r="Y288" s="30"/>
    </row>
    <row r="289" spans="1:25" s="14" customFormat="1" x14ac:dyDescent="0.35">
      <c r="A289" s="30"/>
      <c r="B289" s="30"/>
      <c r="C289" s="30">
        <v>2309806</v>
      </c>
      <c r="D289" s="30" t="s">
        <v>132</v>
      </c>
      <c r="E289" s="30" t="s">
        <v>122</v>
      </c>
      <c r="F289" s="30" t="s">
        <v>6</v>
      </c>
      <c r="G289" s="30"/>
      <c r="H289" s="38">
        <v>0.85</v>
      </c>
      <c r="I289" s="30"/>
      <c r="J289" s="38">
        <v>82</v>
      </c>
      <c r="K289" s="38">
        <v>3</v>
      </c>
      <c r="L289" s="38"/>
      <c r="M289" s="38">
        <v>46.99</v>
      </c>
      <c r="N289" s="38"/>
      <c r="O289" s="38"/>
      <c r="P289" s="141"/>
      <c r="Q289" s="38"/>
      <c r="R289" s="38"/>
      <c r="S289" s="38"/>
      <c r="T289" s="38" t="s">
        <v>66</v>
      </c>
      <c r="U289" s="38"/>
      <c r="V289" s="38"/>
      <c r="W289" s="38"/>
      <c r="X289" s="38"/>
      <c r="Y289" s="30"/>
    </row>
    <row r="290" spans="1:25" s="14" customFormat="1" x14ac:dyDescent="0.35">
      <c r="A290" s="30"/>
      <c r="B290" s="30"/>
      <c r="C290" s="30">
        <v>2305346</v>
      </c>
      <c r="D290" s="30" t="s">
        <v>132</v>
      </c>
      <c r="E290" s="30" t="s">
        <v>122</v>
      </c>
      <c r="F290" s="30" t="s">
        <v>6</v>
      </c>
      <c r="G290" s="30"/>
      <c r="H290" s="38">
        <v>0.8</v>
      </c>
      <c r="I290" s="30"/>
      <c r="J290" s="38">
        <v>86</v>
      </c>
      <c r="K290" s="38">
        <v>3</v>
      </c>
      <c r="L290" s="38"/>
      <c r="M290" s="38">
        <v>49.51</v>
      </c>
      <c r="N290" s="38"/>
      <c r="O290" s="38"/>
      <c r="P290" s="141"/>
      <c r="Q290" s="38"/>
      <c r="R290" s="38"/>
      <c r="S290" s="38"/>
      <c r="T290" s="38" t="s">
        <v>66</v>
      </c>
      <c r="U290" s="38"/>
      <c r="V290" s="38"/>
      <c r="W290" s="38"/>
      <c r="X290" s="38"/>
      <c r="Y290" s="30"/>
    </row>
    <row r="291" spans="1:25" s="14" customFormat="1" x14ac:dyDescent="0.35">
      <c r="A291" s="30"/>
      <c r="B291" s="30"/>
      <c r="C291" s="30">
        <v>2224295</v>
      </c>
      <c r="D291" s="30" t="s">
        <v>132</v>
      </c>
      <c r="E291" s="30" t="s">
        <v>122</v>
      </c>
      <c r="F291" s="30" t="s">
        <v>6</v>
      </c>
      <c r="G291" s="30"/>
      <c r="H291" s="38">
        <v>0.95</v>
      </c>
      <c r="I291" s="30"/>
      <c r="J291" s="38">
        <v>78</v>
      </c>
      <c r="K291" s="38">
        <v>4</v>
      </c>
      <c r="L291" s="38"/>
      <c r="M291" s="38">
        <v>68.5</v>
      </c>
      <c r="N291" s="38"/>
      <c r="O291" s="38"/>
      <c r="P291" s="141"/>
      <c r="Q291" s="38">
        <v>0.67</v>
      </c>
      <c r="R291" s="38"/>
      <c r="S291" s="38"/>
      <c r="T291" s="38" t="s">
        <v>66</v>
      </c>
      <c r="U291" s="38"/>
      <c r="V291" s="38"/>
      <c r="W291" s="38"/>
      <c r="X291" s="38"/>
      <c r="Y291" s="30"/>
    </row>
    <row r="292" spans="1:25" s="163" customFormat="1" x14ac:dyDescent="0.35">
      <c r="A292" s="30"/>
      <c r="B292" s="30"/>
      <c r="C292" s="30">
        <v>2257583</v>
      </c>
      <c r="D292" s="30" t="s">
        <v>132</v>
      </c>
      <c r="E292" s="30" t="s">
        <v>122</v>
      </c>
      <c r="F292" s="30" t="s">
        <v>6</v>
      </c>
      <c r="G292" s="30"/>
      <c r="H292" s="38">
        <v>0.96</v>
      </c>
      <c r="I292" s="30"/>
      <c r="J292" s="38">
        <v>82</v>
      </c>
      <c r="K292" s="38">
        <v>4</v>
      </c>
      <c r="L292" s="38"/>
      <c r="M292" s="38">
        <v>73.8</v>
      </c>
      <c r="N292" s="38"/>
      <c r="O292" s="38"/>
      <c r="P292" s="141"/>
      <c r="Q292" s="38"/>
      <c r="R292" s="38"/>
      <c r="S292" s="38"/>
      <c r="T292" s="38" t="s">
        <v>66</v>
      </c>
      <c r="U292" s="38"/>
      <c r="V292" s="38"/>
      <c r="W292" s="38"/>
      <c r="X292" s="38"/>
      <c r="Y292" s="30"/>
    </row>
    <row r="293" spans="1:25" s="14" customFormat="1" x14ac:dyDescent="0.35">
      <c r="A293" s="30" t="s">
        <v>130</v>
      </c>
      <c r="B293" s="30" t="s">
        <v>131</v>
      </c>
      <c r="C293" s="30"/>
      <c r="D293" s="30" t="s">
        <v>132</v>
      </c>
      <c r="E293" s="30" t="s">
        <v>122</v>
      </c>
      <c r="F293" s="30" t="s">
        <v>6</v>
      </c>
      <c r="G293" s="38"/>
      <c r="H293" s="38">
        <v>1.5</v>
      </c>
      <c r="I293" s="38"/>
      <c r="J293" s="38">
        <v>74</v>
      </c>
      <c r="K293" s="142"/>
      <c r="L293" s="38"/>
      <c r="M293" s="38">
        <v>102</v>
      </c>
      <c r="N293" s="38"/>
      <c r="O293" s="38"/>
      <c r="P293" s="141"/>
      <c r="Q293" s="38"/>
      <c r="R293" s="38"/>
      <c r="S293" s="38">
        <v>1.36</v>
      </c>
      <c r="T293" s="38" t="s">
        <v>65</v>
      </c>
      <c r="U293" s="38"/>
      <c r="V293" s="38"/>
      <c r="W293" s="38"/>
      <c r="X293" s="38"/>
      <c r="Y293" s="30"/>
    </row>
    <row r="294" spans="1:25" s="163" customFormat="1" x14ac:dyDescent="0.35">
      <c r="A294" s="30" t="s">
        <v>130</v>
      </c>
      <c r="B294" s="30" t="s">
        <v>131</v>
      </c>
      <c r="C294" s="30"/>
      <c r="D294" s="30" t="s">
        <v>132</v>
      </c>
      <c r="E294" s="30" t="s">
        <v>122</v>
      </c>
      <c r="F294" s="30" t="s">
        <v>6</v>
      </c>
      <c r="G294" s="38"/>
      <c r="H294" s="38">
        <v>1.6</v>
      </c>
      <c r="I294" s="30"/>
      <c r="J294" s="38">
        <v>74</v>
      </c>
      <c r="K294" s="38">
        <v>5</v>
      </c>
      <c r="L294" s="38"/>
      <c r="M294" s="142">
        <v>85</v>
      </c>
      <c r="N294" s="38"/>
      <c r="O294" s="38"/>
      <c r="P294" s="141"/>
      <c r="Q294" s="38">
        <v>1.5</v>
      </c>
      <c r="R294" s="38"/>
      <c r="S294" s="38"/>
      <c r="T294" s="38" t="s">
        <v>65</v>
      </c>
      <c r="U294" s="38"/>
      <c r="V294" s="38"/>
      <c r="W294" s="38"/>
      <c r="X294" s="38"/>
      <c r="Y294" s="30"/>
    </row>
    <row r="295" spans="1:25" s="14" customFormat="1" x14ac:dyDescent="0.35">
      <c r="A295" s="30" t="s">
        <v>130</v>
      </c>
      <c r="B295" s="30" t="s">
        <v>131</v>
      </c>
      <c r="C295" s="30"/>
      <c r="D295" s="30" t="s">
        <v>132</v>
      </c>
      <c r="E295" s="30" t="s">
        <v>122</v>
      </c>
      <c r="F295" s="30" t="s">
        <v>6</v>
      </c>
      <c r="G295" s="38"/>
      <c r="H295" s="38">
        <v>1.4</v>
      </c>
      <c r="I295" s="30"/>
      <c r="J295" s="38">
        <v>74</v>
      </c>
      <c r="K295" s="38">
        <v>5</v>
      </c>
      <c r="L295" s="38"/>
      <c r="M295" s="142">
        <v>85</v>
      </c>
      <c r="N295" s="38"/>
      <c r="O295" s="38"/>
      <c r="P295" s="141"/>
      <c r="Q295" s="38">
        <v>1.44</v>
      </c>
      <c r="R295" s="38"/>
      <c r="S295" s="38"/>
      <c r="T295" s="38" t="s">
        <v>65</v>
      </c>
      <c r="U295" s="38"/>
      <c r="V295" s="38"/>
      <c r="W295" s="38"/>
      <c r="X295" s="38"/>
      <c r="Y295" s="30"/>
    </row>
    <row r="296" spans="1:25" s="14" customFormat="1" x14ac:dyDescent="0.35">
      <c r="A296" s="30" t="s">
        <v>130</v>
      </c>
      <c r="B296" s="30" t="s">
        <v>131</v>
      </c>
      <c r="C296" s="30"/>
      <c r="D296" s="30" t="s">
        <v>132</v>
      </c>
      <c r="E296" s="30" t="s">
        <v>122</v>
      </c>
      <c r="F296" s="30" t="s">
        <v>6</v>
      </c>
      <c r="G296" s="38"/>
      <c r="H296" s="38">
        <v>1.6</v>
      </c>
      <c r="I296" s="30"/>
      <c r="J296" s="38">
        <v>78</v>
      </c>
      <c r="K296" s="38">
        <v>5</v>
      </c>
      <c r="L296" s="38"/>
      <c r="M296" s="142">
        <v>96</v>
      </c>
      <c r="N296" s="38"/>
      <c r="O296" s="38"/>
      <c r="P296" s="141"/>
      <c r="Q296" s="38">
        <v>1.74</v>
      </c>
      <c r="R296" s="38"/>
      <c r="S296" s="38"/>
      <c r="T296" s="38" t="s">
        <v>65</v>
      </c>
      <c r="U296" s="38"/>
      <c r="V296" s="38"/>
      <c r="W296" s="38"/>
      <c r="X296" s="38"/>
      <c r="Y296" s="30"/>
    </row>
    <row r="297" spans="1:25" s="14" customFormat="1" x14ac:dyDescent="0.35">
      <c r="A297" s="30" t="s">
        <v>130</v>
      </c>
      <c r="B297" s="30" t="s">
        <v>131</v>
      </c>
      <c r="C297" s="30">
        <v>2212212</v>
      </c>
      <c r="D297" s="30" t="s">
        <v>132</v>
      </c>
      <c r="E297" s="30" t="s">
        <v>122</v>
      </c>
      <c r="F297" s="30" t="s">
        <v>6</v>
      </c>
      <c r="G297" s="38"/>
      <c r="H297" s="38">
        <v>1.36</v>
      </c>
      <c r="I297" s="30"/>
      <c r="J297" s="38">
        <v>72</v>
      </c>
      <c r="K297" s="38">
        <v>5</v>
      </c>
      <c r="L297" s="38"/>
      <c r="M297" s="142">
        <v>85</v>
      </c>
      <c r="N297" s="38"/>
      <c r="O297" s="38"/>
      <c r="P297" s="141"/>
      <c r="Q297" s="38">
        <v>1.44</v>
      </c>
      <c r="R297" s="38"/>
      <c r="S297" s="38"/>
      <c r="T297" s="38" t="s">
        <v>65</v>
      </c>
      <c r="U297" s="38"/>
      <c r="V297" s="38"/>
      <c r="W297" s="38"/>
      <c r="X297" s="38"/>
      <c r="Y297" s="30"/>
    </row>
    <row r="298" spans="1:25" s="14" customFormat="1" x14ac:dyDescent="0.35">
      <c r="A298" s="30" t="s">
        <v>130</v>
      </c>
      <c r="B298" s="30" t="s">
        <v>131</v>
      </c>
      <c r="C298" s="30">
        <v>2217058</v>
      </c>
      <c r="D298" s="30" t="s">
        <v>132</v>
      </c>
      <c r="E298" s="30" t="s">
        <v>122</v>
      </c>
      <c r="F298" s="30" t="s">
        <v>6</v>
      </c>
      <c r="G298" s="38"/>
      <c r="H298" s="38">
        <v>1.47</v>
      </c>
      <c r="I298" s="30"/>
      <c r="J298" s="38">
        <v>76</v>
      </c>
      <c r="K298" s="38">
        <v>5</v>
      </c>
      <c r="L298" s="38"/>
      <c r="M298" s="142">
        <v>105.9</v>
      </c>
      <c r="N298" s="38"/>
      <c r="O298" s="38"/>
      <c r="P298" s="141"/>
      <c r="Q298" s="38">
        <v>1.74</v>
      </c>
      <c r="R298" s="38"/>
      <c r="S298" s="38"/>
      <c r="T298" s="38" t="s">
        <v>65</v>
      </c>
      <c r="U298" s="38"/>
      <c r="V298" s="38"/>
      <c r="W298" s="38"/>
      <c r="X298" s="38"/>
      <c r="Y298" s="30"/>
    </row>
    <row r="299" spans="1:25" s="14" customFormat="1" x14ac:dyDescent="0.35">
      <c r="A299" s="30" t="s">
        <v>130</v>
      </c>
      <c r="B299" s="30" t="s">
        <v>131</v>
      </c>
      <c r="C299" s="30">
        <v>2207251</v>
      </c>
      <c r="D299" s="30" t="s">
        <v>132</v>
      </c>
      <c r="E299" s="30" t="s">
        <v>122</v>
      </c>
      <c r="F299" s="30" t="s">
        <v>6</v>
      </c>
      <c r="G299" s="38"/>
      <c r="H299" s="38">
        <v>1.36</v>
      </c>
      <c r="I299" s="30"/>
      <c r="J299" s="38">
        <v>74</v>
      </c>
      <c r="K299" s="38">
        <v>5</v>
      </c>
      <c r="L299" s="38"/>
      <c r="M299" s="142">
        <v>95</v>
      </c>
      <c r="N299" s="38"/>
      <c r="O299" s="38"/>
      <c r="P299" s="141"/>
      <c r="Q299" s="38">
        <v>1.48</v>
      </c>
      <c r="R299" s="38"/>
      <c r="S299" s="38"/>
      <c r="T299" s="38" t="s">
        <v>65</v>
      </c>
      <c r="U299" s="38"/>
      <c r="V299" s="38"/>
      <c r="W299" s="38"/>
      <c r="X299" s="38"/>
      <c r="Y299" s="30"/>
    </row>
    <row r="300" spans="1:25" s="14" customFormat="1" x14ac:dyDescent="0.35">
      <c r="A300" s="30" t="s">
        <v>130</v>
      </c>
      <c r="B300" s="30" t="s">
        <v>131</v>
      </c>
      <c r="C300" s="30">
        <v>2207250</v>
      </c>
      <c r="D300" s="30" t="s">
        <v>132</v>
      </c>
      <c r="E300" s="30" t="s">
        <v>122</v>
      </c>
      <c r="F300" s="30" t="s">
        <v>6</v>
      </c>
      <c r="G300" s="38"/>
      <c r="H300" s="38">
        <v>1.42</v>
      </c>
      <c r="I300" s="30"/>
      <c r="J300" s="38">
        <v>73</v>
      </c>
      <c r="K300" s="38">
        <v>5</v>
      </c>
      <c r="L300" s="38"/>
      <c r="M300" s="142">
        <v>100.6</v>
      </c>
      <c r="N300" s="38"/>
      <c r="O300" s="38"/>
      <c r="P300" s="141"/>
      <c r="Q300" s="38">
        <v>1.54</v>
      </c>
      <c r="R300" s="38"/>
      <c r="S300" s="38"/>
      <c r="T300" s="38" t="s">
        <v>65</v>
      </c>
      <c r="U300" s="38"/>
      <c r="V300" s="38"/>
      <c r="W300" s="38"/>
      <c r="X300" s="38"/>
      <c r="Y300" s="30"/>
    </row>
    <row r="301" spans="1:25" s="14" customFormat="1" x14ac:dyDescent="0.35">
      <c r="A301" s="30" t="s">
        <v>130</v>
      </c>
      <c r="B301" s="30" t="s">
        <v>131</v>
      </c>
      <c r="C301" s="30">
        <v>2265068</v>
      </c>
      <c r="D301" s="30" t="s">
        <v>132</v>
      </c>
      <c r="E301" s="30" t="s">
        <v>122</v>
      </c>
      <c r="F301" s="30" t="s">
        <v>6</v>
      </c>
      <c r="G301" s="38"/>
      <c r="H301" s="38">
        <v>1.37</v>
      </c>
      <c r="I301" s="30"/>
      <c r="J301" s="38">
        <v>75</v>
      </c>
      <c r="K301" s="38">
        <v>5</v>
      </c>
      <c r="L301" s="38"/>
      <c r="M301" s="142">
        <v>102.3</v>
      </c>
      <c r="N301" s="38"/>
      <c r="O301" s="38"/>
      <c r="P301" s="141"/>
      <c r="Q301" s="38">
        <v>1.49</v>
      </c>
      <c r="R301" s="38"/>
      <c r="S301" s="38"/>
      <c r="T301" s="38" t="s">
        <v>65</v>
      </c>
      <c r="U301" s="38"/>
      <c r="V301" s="38"/>
      <c r="W301" s="38"/>
      <c r="X301" s="38"/>
      <c r="Y301" s="30"/>
    </row>
    <row r="302" spans="1:25" s="14" customFormat="1" x14ac:dyDescent="0.35">
      <c r="A302" s="30" t="s">
        <v>130</v>
      </c>
      <c r="B302" s="30" t="s">
        <v>131</v>
      </c>
      <c r="C302" s="30"/>
      <c r="D302" s="30" t="s">
        <v>132</v>
      </c>
      <c r="E302" s="30" t="s">
        <v>122</v>
      </c>
      <c r="F302" s="30" t="s">
        <v>6</v>
      </c>
      <c r="G302" s="38"/>
      <c r="H302" s="38">
        <v>1.4</v>
      </c>
      <c r="I302" s="30"/>
      <c r="J302" s="38">
        <v>75</v>
      </c>
      <c r="K302" s="38">
        <v>5</v>
      </c>
      <c r="L302" s="38"/>
      <c r="M302" s="142">
        <v>102</v>
      </c>
      <c r="N302" s="38"/>
      <c r="O302" s="38"/>
      <c r="P302" s="141"/>
      <c r="Q302" s="38">
        <v>1.49</v>
      </c>
      <c r="R302" s="38"/>
      <c r="S302" s="38"/>
      <c r="T302" s="38" t="s">
        <v>65</v>
      </c>
      <c r="U302" s="38"/>
      <c r="V302" s="38"/>
      <c r="W302" s="38"/>
      <c r="X302" s="38"/>
      <c r="Y302" s="30"/>
    </row>
    <row r="303" spans="1:25" s="14" customFormat="1" x14ac:dyDescent="0.35">
      <c r="A303" s="30" t="s">
        <v>130</v>
      </c>
      <c r="B303" s="30" t="s">
        <v>131</v>
      </c>
      <c r="C303" s="30"/>
      <c r="D303" s="30" t="s">
        <v>132</v>
      </c>
      <c r="E303" s="30" t="s">
        <v>122</v>
      </c>
      <c r="F303" s="30" t="s">
        <v>6</v>
      </c>
      <c r="G303" s="38"/>
      <c r="H303" s="38">
        <v>1.4</v>
      </c>
      <c r="I303" s="30"/>
      <c r="J303" s="38">
        <v>74</v>
      </c>
      <c r="K303" s="38">
        <v>5</v>
      </c>
      <c r="L303" s="38"/>
      <c r="M303" s="142">
        <v>95</v>
      </c>
      <c r="N303" s="38"/>
      <c r="O303" s="38"/>
      <c r="P303" s="141"/>
      <c r="Q303" s="38">
        <v>1.48</v>
      </c>
      <c r="R303" s="38"/>
      <c r="S303" s="38"/>
      <c r="T303" s="38" t="s">
        <v>65</v>
      </c>
      <c r="U303" s="38"/>
      <c r="V303" s="38"/>
      <c r="W303" s="38"/>
      <c r="X303" s="38"/>
      <c r="Y303" s="30"/>
    </row>
    <row r="304" spans="1:25" s="14" customFormat="1" x14ac:dyDescent="0.35">
      <c r="A304" s="30" t="s">
        <v>130</v>
      </c>
      <c r="B304" s="30" t="s">
        <v>131</v>
      </c>
      <c r="C304" s="30"/>
      <c r="D304" s="30" t="s">
        <v>132</v>
      </c>
      <c r="E304" s="30" t="s">
        <v>122</v>
      </c>
      <c r="F304" s="30" t="s">
        <v>6</v>
      </c>
      <c r="G304" s="38"/>
      <c r="H304" s="38">
        <v>1.4</v>
      </c>
      <c r="I304" s="30"/>
      <c r="J304" s="38">
        <v>73</v>
      </c>
      <c r="K304" s="38">
        <v>5</v>
      </c>
      <c r="L304" s="38"/>
      <c r="M304" s="142">
        <v>101</v>
      </c>
      <c r="N304" s="38"/>
      <c r="O304" s="38"/>
      <c r="P304" s="141"/>
      <c r="Q304" s="38">
        <v>1.54</v>
      </c>
      <c r="R304" s="38"/>
      <c r="S304" s="38"/>
      <c r="T304" s="38" t="s">
        <v>65</v>
      </c>
      <c r="U304" s="38"/>
      <c r="V304" s="38"/>
      <c r="W304" s="38"/>
      <c r="X304" s="38"/>
      <c r="Y304" s="30"/>
    </row>
    <row r="305" spans="1:25" s="14" customFormat="1" x14ac:dyDescent="0.35">
      <c r="A305" s="30" t="s">
        <v>130</v>
      </c>
      <c r="B305" s="30" t="s">
        <v>131</v>
      </c>
      <c r="C305" s="30">
        <v>2218711</v>
      </c>
      <c r="D305" s="30" t="s">
        <v>132</v>
      </c>
      <c r="E305" s="30" t="s">
        <v>122</v>
      </c>
      <c r="F305" s="30" t="s">
        <v>6</v>
      </c>
      <c r="G305" s="38"/>
      <c r="H305" s="38">
        <v>1.42</v>
      </c>
      <c r="I305" s="30"/>
      <c r="J305" s="38">
        <v>76</v>
      </c>
      <c r="K305" s="38">
        <v>5</v>
      </c>
      <c r="L305" s="38"/>
      <c r="M305" s="142">
        <v>108.09</v>
      </c>
      <c r="N305" s="38"/>
      <c r="O305" s="38"/>
      <c r="P305" s="141"/>
      <c r="Q305" s="38"/>
      <c r="R305" s="38"/>
      <c r="S305" s="38"/>
      <c r="T305" s="38" t="s">
        <v>65</v>
      </c>
      <c r="U305" s="38"/>
      <c r="V305" s="38"/>
      <c r="W305" s="38"/>
      <c r="X305" s="38"/>
      <c r="Y305" s="30"/>
    </row>
    <row r="306" spans="1:25" s="14" customFormat="1" x14ac:dyDescent="0.35">
      <c r="A306" s="30" t="s">
        <v>130</v>
      </c>
      <c r="B306" s="30" t="s">
        <v>131</v>
      </c>
      <c r="C306" s="30">
        <v>2200226</v>
      </c>
      <c r="D306" s="30" t="s">
        <v>132</v>
      </c>
      <c r="E306" s="30" t="s">
        <v>122</v>
      </c>
      <c r="F306" s="30" t="s">
        <v>6</v>
      </c>
      <c r="G306" s="38"/>
      <c r="H306" s="38">
        <v>1.51</v>
      </c>
      <c r="I306" s="30"/>
      <c r="J306" s="38">
        <v>78</v>
      </c>
      <c r="K306" s="38">
        <v>5</v>
      </c>
      <c r="L306" s="38"/>
      <c r="M306" s="142">
        <v>104.91</v>
      </c>
      <c r="N306" s="38"/>
      <c r="O306" s="38"/>
      <c r="P306" s="141"/>
      <c r="Q306" s="38"/>
      <c r="R306" s="38"/>
      <c r="S306" s="38"/>
      <c r="T306" s="38" t="s">
        <v>65</v>
      </c>
      <c r="U306" s="38"/>
      <c r="V306" s="38"/>
      <c r="W306" s="38"/>
      <c r="X306" s="38"/>
      <c r="Y306" s="30"/>
    </row>
    <row r="307" spans="1:25" s="14" customFormat="1" x14ac:dyDescent="0.35">
      <c r="A307" s="30" t="s">
        <v>130</v>
      </c>
      <c r="B307" s="30" t="s">
        <v>131</v>
      </c>
      <c r="C307" s="30">
        <v>2200225</v>
      </c>
      <c r="D307" s="30" t="s">
        <v>132</v>
      </c>
      <c r="E307" s="30" t="s">
        <v>122</v>
      </c>
      <c r="F307" s="30" t="s">
        <v>6</v>
      </c>
      <c r="G307" s="38"/>
      <c r="H307" s="38">
        <v>1.55</v>
      </c>
      <c r="I307" s="30"/>
      <c r="J307" s="38">
        <v>75</v>
      </c>
      <c r="K307" s="38">
        <v>5</v>
      </c>
      <c r="L307" s="38"/>
      <c r="M307" s="142">
        <v>97.43</v>
      </c>
      <c r="N307" s="38"/>
      <c r="O307" s="38"/>
      <c r="P307" s="141"/>
      <c r="Q307" s="38"/>
      <c r="R307" s="38"/>
      <c r="S307" s="38"/>
      <c r="T307" s="38" t="s">
        <v>65</v>
      </c>
      <c r="U307" s="38"/>
      <c r="V307" s="38"/>
      <c r="W307" s="38"/>
      <c r="X307" s="38"/>
      <c r="Y307" s="30"/>
    </row>
    <row r="308" spans="1:25" s="14" customFormat="1" x14ac:dyDescent="0.35">
      <c r="A308" s="30" t="s">
        <v>130</v>
      </c>
      <c r="B308" s="30" t="s">
        <v>131</v>
      </c>
      <c r="C308" s="30"/>
      <c r="D308" s="30" t="s">
        <v>132</v>
      </c>
      <c r="E308" s="30" t="s">
        <v>122</v>
      </c>
      <c r="F308" s="30" t="s">
        <v>6</v>
      </c>
      <c r="G308" s="38"/>
      <c r="H308" s="38">
        <v>1.5</v>
      </c>
      <c r="I308" s="30"/>
      <c r="J308" s="38">
        <v>76</v>
      </c>
      <c r="K308" s="38">
        <v>5</v>
      </c>
      <c r="L308" s="38"/>
      <c r="M308" s="142">
        <v>99</v>
      </c>
      <c r="N308" s="38"/>
      <c r="O308" s="38"/>
      <c r="P308" s="141"/>
      <c r="Q308" s="38">
        <v>1.54</v>
      </c>
      <c r="R308" s="38"/>
      <c r="S308" s="38"/>
      <c r="T308" s="38" t="s">
        <v>65</v>
      </c>
      <c r="U308" s="38"/>
      <c r="V308" s="38"/>
      <c r="W308" s="38"/>
      <c r="X308" s="38"/>
      <c r="Y308" s="30"/>
    </row>
    <row r="309" spans="1:25" s="14" customFormat="1" x14ac:dyDescent="0.35">
      <c r="A309" s="30" t="s">
        <v>130</v>
      </c>
      <c r="B309" s="30" t="s">
        <v>131</v>
      </c>
      <c r="C309" s="30"/>
      <c r="D309" s="30" t="s">
        <v>132</v>
      </c>
      <c r="E309" s="30" t="s">
        <v>122</v>
      </c>
      <c r="F309" s="30" t="s">
        <v>6</v>
      </c>
      <c r="G309" s="38"/>
      <c r="H309" s="38">
        <v>1.5</v>
      </c>
      <c r="I309" s="30"/>
      <c r="J309" s="38">
        <v>71</v>
      </c>
      <c r="K309" s="38">
        <v>5</v>
      </c>
      <c r="L309" s="38"/>
      <c r="M309" s="142">
        <v>93</v>
      </c>
      <c r="N309" s="38"/>
      <c r="O309" s="38"/>
      <c r="P309" s="141"/>
      <c r="Q309" s="38">
        <v>1.6</v>
      </c>
      <c r="R309" s="38"/>
      <c r="S309" s="38"/>
      <c r="T309" s="38" t="s">
        <v>65</v>
      </c>
      <c r="U309" s="38"/>
      <c r="V309" s="38"/>
      <c r="W309" s="38"/>
      <c r="X309" s="38"/>
      <c r="Y309" s="30"/>
    </row>
    <row r="310" spans="1:25" s="14" customFormat="1" x14ac:dyDescent="0.35">
      <c r="A310" s="30" t="s">
        <v>130</v>
      </c>
      <c r="B310" s="30" t="s">
        <v>131</v>
      </c>
      <c r="C310" s="30"/>
      <c r="D310" s="30" t="s">
        <v>132</v>
      </c>
      <c r="E310" s="30" t="s">
        <v>122</v>
      </c>
      <c r="F310" s="30" t="s">
        <v>6</v>
      </c>
      <c r="G310" s="38"/>
      <c r="H310" s="38">
        <v>1.6</v>
      </c>
      <c r="I310" s="30"/>
      <c r="J310" s="38">
        <v>76</v>
      </c>
      <c r="K310" s="38">
        <v>5</v>
      </c>
      <c r="L310" s="38"/>
      <c r="M310" s="142">
        <v>90</v>
      </c>
      <c r="N310" s="38"/>
      <c r="O310" s="38"/>
      <c r="P310" s="141"/>
      <c r="Q310" s="38">
        <v>1.7</v>
      </c>
      <c r="R310" s="38"/>
      <c r="S310" s="38"/>
      <c r="T310" s="38" t="s">
        <v>65</v>
      </c>
      <c r="U310" s="38"/>
      <c r="V310" s="38"/>
      <c r="W310" s="38"/>
      <c r="X310" s="38"/>
      <c r="Y310" s="30"/>
    </row>
    <row r="311" spans="1:25" s="14" customFormat="1" x14ac:dyDescent="0.35">
      <c r="A311" s="30" t="s">
        <v>130</v>
      </c>
      <c r="B311" s="30" t="s">
        <v>131</v>
      </c>
      <c r="C311" s="30">
        <v>2305356</v>
      </c>
      <c r="D311" s="30" t="s">
        <v>132</v>
      </c>
      <c r="E311" s="30" t="s">
        <v>122</v>
      </c>
      <c r="F311" s="30" t="s">
        <v>6</v>
      </c>
      <c r="G311" s="38"/>
      <c r="H311" s="38">
        <v>1.6</v>
      </c>
      <c r="I311" s="30"/>
      <c r="J311" s="38">
        <v>85</v>
      </c>
      <c r="K311" s="38">
        <v>10</v>
      </c>
      <c r="L311" s="38"/>
      <c r="M311" s="142">
        <v>188.69</v>
      </c>
      <c r="N311" s="38"/>
      <c r="O311" s="38"/>
      <c r="P311" s="141"/>
      <c r="Q311" s="38"/>
      <c r="R311" s="38"/>
      <c r="S311" s="38"/>
      <c r="T311" s="38" t="s">
        <v>65</v>
      </c>
      <c r="U311" s="38"/>
      <c r="V311" s="38"/>
      <c r="W311" s="38"/>
      <c r="X311" s="38"/>
      <c r="Y311" s="30"/>
    </row>
    <row r="312" spans="1:25" s="14" customFormat="1" x14ac:dyDescent="0.35">
      <c r="A312" s="30" t="s">
        <v>130</v>
      </c>
      <c r="B312" s="30" t="s">
        <v>131</v>
      </c>
      <c r="C312" s="30">
        <v>2309814</v>
      </c>
      <c r="D312" s="30" t="s">
        <v>132</v>
      </c>
      <c r="E312" s="30" t="s">
        <v>122</v>
      </c>
      <c r="F312" s="30" t="s">
        <v>6</v>
      </c>
      <c r="G312" s="38"/>
      <c r="H312" s="38">
        <v>1.6</v>
      </c>
      <c r="I312" s="30"/>
      <c r="J312" s="38">
        <v>83</v>
      </c>
      <c r="K312" s="38">
        <v>10</v>
      </c>
      <c r="L312" s="38"/>
      <c r="M312" s="142">
        <v>184.17</v>
      </c>
      <c r="N312" s="38"/>
      <c r="O312" s="38"/>
      <c r="P312" s="141"/>
      <c r="Q312" s="38"/>
      <c r="R312" s="38"/>
      <c r="S312" s="38"/>
      <c r="T312" s="38" t="s">
        <v>65</v>
      </c>
      <c r="U312" s="38"/>
      <c r="V312" s="38"/>
      <c r="W312" s="38"/>
      <c r="X312" s="38"/>
      <c r="Y312" s="30"/>
    </row>
    <row r="313" spans="1:25" s="14" customFormat="1" x14ac:dyDescent="0.35">
      <c r="A313" s="30" t="s">
        <v>130</v>
      </c>
      <c r="B313" s="30" t="s">
        <v>131</v>
      </c>
      <c r="C313" s="30">
        <v>2224293</v>
      </c>
      <c r="D313" s="30" t="s">
        <v>132</v>
      </c>
      <c r="E313" s="30" t="s">
        <v>122</v>
      </c>
      <c r="F313" s="30" t="s">
        <v>6</v>
      </c>
      <c r="G313" s="38"/>
      <c r="H313" s="38">
        <v>1.57</v>
      </c>
      <c r="I313" s="30"/>
      <c r="J313" s="38">
        <v>83</v>
      </c>
      <c r="K313" s="38">
        <v>5</v>
      </c>
      <c r="L313" s="38"/>
      <c r="M313" s="142">
        <v>132.5</v>
      </c>
      <c r="N313" s="38"/>
      <c r="O313" s="38"/>
      <c r="P313" s="141"/>
      <c r="Q313" s="38"/>
      <c r="R313" s="38"/>
      <c r="S313" s="38"/>
      <c r="T313" s="38" t="s">
        <v>65</v>
      </c>
      <c r="U313" s="38"/>
      <c r="V313" s="38"/>
      <c r="W313" s="38"/>
      <c r="X313" s="38"/>
      <c r="Y313" s="30"/>
    </row>
    <row r="314" spans="1:25" s="14" customFormat="1" x14ac:dyDescent="0.35">
      <c r="A314" s="30" t="s">
        <v>130</v>
      </c>
      <c r="B314" s="30" t="s">
        <v>131</v>
      </c>
      <c r="C314" s="30"/>
      <c r="D314" s="30" t="s">
        <v>132</v>
      </c>
      <c r="E314" s="30" t="s">
        <v>122</v>
      </c>
      <c r="F314" s="30" t="s">
        <v>6</v>
      </c>
      <c r="G314" s="38"/>
      <c r="H314" s="38">
        <v>1.5</v>
      </c>
      <c r="I314" s="30"/>
      <c r="J314" s="38">
        <v>74</v>
      </c>
      <c r="K314" s="38">
        <v>5</v>
      </c>
      <c r="L314" s="38"/>
      <c r="M314" s="142">
        <v>102</v>
      </c>
      <c r="N314" s="38"/>
      <c r="O314" s="38"/>
      <c r="P314" s="141"/>
      <c r="Q314" s="38">
        <v>1.36</v>
      </c>
      <c r="R314" s="38"/>
      <c r="S314" s="38"/>
      <c r="T314" s="38" t="s">
        <v>65</v>
      </c>
      <c r="U314" s="38"/>
      <c r="V314" s="38"/>
      <c r="W314" s="38"/>
      <c r="X314" s="38"/>
      <c r="Y314" s="30"/>
    </row>
    <row r="315" spans="1:25" s="14" customFormat="1" x14ac:dyDescent="0.35">
      <c r="A315" s="30" t="s">
        <v>130</v>
      </c>
      <c r="B315" s="30" t="s">
        <v>131</v>
      </c>
      <c r="C315" s="138" t="s">
        <v>124</v>
      </c>
      <c r="D315" s="30" t="s">
        <v>132</v>
      </c>
      <c r="E315" s="30" t="s">
        <v>122</v>
      </c>
      <c r="F315" s="30" t="s">
        <v>6</v>
      </c>
      <c r="G315" s="38"/>
      <c r="H315" s="38">
        <v>1.9883</v>
      </c>
      <c r="I315" s="30"/>
      <c r="J315" s="38">
        <v>70.67</v>
      </c>
      <c r="K315" s="38">
        <v>5</v>
      </c>
      <c r="L315" s="38"/>
      <c r="M315" s="142">
        <v>88.17</v>
      </c>
      <c r="N315" s="38"/>
      <c r="O315" s="38"/>
      <c r="P315" s="141"/>
      <c r="Q315" s="38">
        <v>1.5632999999999999</v>
      </c>
      <c r="R315" s="38"/>
      <c r="S315" s="38"/>
      <c r="T315" s="38" t="s">
        <v>65</v>
      </c>
      <c r="U315" s="38"/>
      <c r="V315" s="38"/>
      <c r="W315" s="38"/>
      <c r="X315" s="38"/>
      <c r="Y315" s="30"/>
    </row>
    <row r="316" spans="1:25" s="14" customFormat="1" x14ac:dyDescent="0.35">
      <c r="A316" s="30" t="s">
        <v>130</v>
      </c>
      <c r="B316" s="30" t="s">
        <v>131</v>
      </c>
      <c r="C316" s="138" t="s">
        <v>124</v>
      </c>
      <c r="D316" s="30" t="s">
        <v>132</v>
      </c>
      <c r="E316" s="30" t="s">
        <v>122</v>
      </c>
      <c r="F316" s="30" t="s">
        <v>6</v>
      </c>
      <c r="G316" s="38"/>
      <c r="H316" s="38">
        <v>1.9883</v>
      </c>
      <c r="I316" s="30"/>
      <c r="J316" s="38">
        <v>70.67</v>
      </c>
      <c r="K316" s="38">
        <v>5</v>
      </c>
      <c r="L316" s="38"/>
      <c r="M316" s="142">
        <v>88.17</v>
      </c>
      <c r="N316" s="38"/>
      <c r="O316" s="38"/>
      <c r="P316" s="141"/>
      <c r="Q316" s="38">
        <v>1.5632999999999999</v>
      </c>
      <c r="R316" s="38"/>
      <c r="S316" s="38"/>
      <c r="T316" s="38" t="s">
        <v>65</v>
      </c>
      <c r="U316" s="38"/>
      <c r="V316" s="38"/>
      <c r="W316" s="38"/>
      <c r="X316" s="38"/>
      <c r="Y316" s="30"/>
    </row>
    <row r="317" spans="1:25" s="14" customFormat="1" x14ac:dyDescent="0.35">
      <c r="A317" s="30" t="s">
        <v>130</v>
      </c>
      <c r="B317" s="30" t="s">
        <v>131</v>
      </c>
      <c r="C317" s="138" t="s">
        <v>124</v>
      </c>
      <c r="D317" s="30" t="s">
        <v>132</v>
      </c>
      <c r="E317" s="30" t="s">
        <v>122</v>
      </c>
      <c r="F317" s="30" t="s">
        <v>6</v>
      </c>
      <c r="G317" s="38"/>
      <c r="H317" s="38">
        <v>1.9883</v>
      </c>
      <c r="I317" s="30"/>
      <c r="J317" s="38">
        <v>70.67</v>
      </c>
      <c r="K317" s="38">
        <v>5</v>
      </c>
      <c r="L317" s="38"/>
      <c r="M317" s="142">
        <v>88.17</v>
      </c>
      <c r="N317" s="38"/>
      <c r="O317" s="38"/>
      <c r="P317" s="141"/>
      <c r="Q317" s="38">
        <v>1.5632999999999999</v>
      </c>
      <c r="R317" s="38"/>
      <c r="S317" s="38"/>
      <c r="T317" s="38" t="s">
        <v>65</v>
      </c>
      <c r="U317" s="38"/>
      <c r="V317" s="38"/>
      <c r="W317" s="38"/>
      <c r="X317" s="38"/>
      <c r="Y317" s="30"/>
    </row>
    <row r="318" spans="1:25" s="14" customFormat="1" x14ac:dyDescent="0.35">
      <c r="A318" s="30" t="s">
        <v>130</v>
      </c>
      <c r="B318" s="30" t="s">
        <v>131</v>
      </c>
      <c r="C318" s="138" t="s">
        <v>124</v>
      </c>
      <c r="D318" s="30" t="s">
        <v>132</v>
      </c>
      <c r="E318" s="30" t="s">
        <v>122</v>
      </c>
      <c r="F318" s="30" t="s">
        <v>6</v>
      </c>
      <c r="G318" s="38"/>
      <c r="H318" s="38">
        <v>1.9883</v>
      </c>
      <c r="I318" s="30"/>
      <c r="J318" s="38">
        <v>70.67</v>
      </c>
      <c r="K318" s="38">
        <v>5</v>
      </c>
      <c r="L318" s="38"/>
      <c r="M318" s="142">
        <v>88.17</v>
      </c>
      <c r="N318" s="38"/>
      <c r="O318" s="38"/>
      <c r="P318" s="141"/>
      <c r="Q318" s="38">
        <v>1.5632999999999999</v>
      </c>
      <c r="R318" s="38"/>
      <c r="S318" s="38"/>
      <c r="T318" s="38" t="s">
        <v>65</v>
      </c>
      <c r="U318" s="38"/>
      <c r="V318" s="38"/>
      <c r="W318" s="38"/>
      <c r="X318" s="38"/>
      <c r="Y318" s="30"/>
    </row>
    <row r="319" spans="1:25" s="14" customFormat="1" x14ac:dyDescent="0.35">
      <c r="A319" s="30" t="s">
        <v>130</v>
      </c>
      <c r="B319" s="30" t="s">
        <v>131</v>
      </c>
      <c r="C319" s="138" t="s">
        <v>124</v>
      </c>
      <c r="D319" s="30" t="s">
        <v>132</v>
      </c>
      <c r="E319" s="30" t="s">
        <v>122</v>
      </c>
      <c r="F319" s="30" t="s">
        <v>6</v>
      </c>
      <c r="G319" s="38"/>
      <c r="H319" s="38">
        <v>1.9883</v>
      </c>
      <c r="I319" s="30"/>
      <c r="J319" s="38">
        <v>70.67</v>
      </c>
      <c r="K319" s="38">
        <v>5</v>
      </c>
      <c r="L319" s="38"/>
      <c r="M319" s="142">
        <v>88.17</v>
      </c>
      <c r="N319" s="38"/>
      <c r="O319" s="38"/>
      <c r="P319" s="141"/>
      <c r="Q319" s="38">
        <v>1.5632999999999999</v>
      </c>
      <c r="R319" s="38"/>
      <c r="S319" s="38"/>
      <c r="T319" s="38" t="s">
        <v>65</v>
      </c>
      <c r="U319" s="38"/>
      <c r="V319" s="38"/>
      <c r="W319" s="38"/>
      <c r="X319" s="38"/>
      <c r="Y319" s="30"/>
    </row>
    <row r="320" spans="1:25" s="14" customFormat="1" x14ac:dyDescent="0.35">
      <c r="A320" s="30" t="s">
        <v>130</v>
      </c>
      <c r="B320" s="30" t="s">
        <v>131</v>
      </c>
      <c r="C320" s="138" t="s">
        <v>124</v>
      </c>
      <c r="D320" s="30" t="s">
        <v>132</v>
      </c>
      <c r="E320" s="30" t="s">
        <v>122</v>
      </c>
      <c r="F320" s="30" t="s">
        <v>6</v>
      </c>
      <c r="G320" s="38"/>
      <c r="H320" s="38">
        <v>1.9883</v>
      </c>
      <c r="I320" s="30"/>
      <c r="J320" s="38">
        <v>70.67</v>
      </c>
      <c r="K320" s="38">
        <v>5</v>
      </c>
      <c r="L320" s="38"/>
      <c r="M320" s="142">
        <v>88.17</v>
      </c>
      <c r="N320" s="38"/>
      <c r="O320" s="38"/>
      <c r="P320" s="141"/>
      <c r="Q320" s="38">
        <v>1.5632999999999999</v>
      </c>
      <c r="R320" s="38"/>
      <c r="S320" s="38"/>
      <c r="T320" s="38" t="s">
        <v>65</v>
      </c>
      <c r="U320" s="38"/>
      <c r="V320" s="38"/>
      <c r="W320" s="38"/>
      <c r="X320" s="38"/>
      <c r="Y320" s="30"/>
    </row>
    <row r="321" spans="1:25" s="14" customFormat="1" x14ac:dyDescent="0.35">
      <c r="A321" s="30" t="s">
        <v>130</v>
      </c>
      <c r="B321" s="30" t="s">
        <v>131</v>
      </c>
      <c r="C321" s="138" t="s">
        <v>124</v>
      </c>
      <c r="D321" s="30" t="s">
        <v>132</v>
      </c>
      <c r="E321" s="30" t="s">
        <v>122</v>
      </c>
      <c r="F321" s="30" t="s">
        <v>6</v>
      </c>
      <c r="G321" s="38"/>
      <c r="H321" s="38">
        <v>1.9883</v>
      </c>
      <c r="I321" s="30"/>
      <c r="J321" s="38">
        <v>70.67</v>
      </c>
      <c r="K321" s="38">
        <v>5</v>
      </c>
      <c r="L321" s="38"/>
      <c r="M321" s="142">
        <v>88.17</v>
      </c>
      <c r="N321" s="38"/>
      <c r="O321" s="38"/>
      <c r="P321" s="141"/>
      <c r="Q321" s="38">
        <v>1.5632999999999999</v>
      </c>
      <c r="R321" s="38"/>
      <c r="S321" s="38"/>
      <c r="T321" s="38" t="s">
        <v>65</v>
      </c>
      <c r="U321" s="38"/>
      <c r="V321" s="38"/>
      <c r="W321" s="38"/>
      <c r="X321" s="38"/>
      <c r="Y321" s="30"/>
    </row>
    <row r="322" spans="1:25" s="14" customFormat="1" x14ac:dyDescent="0.35">
      <c r="A322" s="30" t="s">
        <v>130</v>
      </c>
      <c r="B322" s="30" t="s">
        <v>131</v>
      </c>
      <c r="C322" s="138" t="s">
        <v>124</v>
      </c>
      <c r="D322" s="30" t="s">
        <v>132</v>
      </c>
      <c r="E322" s="30" t="s">
        <v>122</v>
      </c>
      <c r="F322" s="30" t="s">
        <v>6</v>
      </c>
      <c r="G322" s="38"/>
      <c r="H322" s="38">
        <v>1.9883</v>
      </c>
      <c r="I322" s="30"/>
      <c r="J322" s="38">
        <v>70.67</v>
      </c>
      <c r="K322" s="38">
        <v>5</v>
      </c>
      <c r="L322" s="38"/>
      <c r="M322" s="142">
        <v>88.17</v>
      </c>
      <c r="N322" s="38"/>
      <c r="O322" s="38"/>
      <c r="P322" s="141"/>
      <c r="Q322" s="38">
        <v>1.5632999999999999</v>
      </c>
      <c r="R322" s="38"/>
      <c r="S322" s="38"/>
      <c r="T322" s="38" t="s">
        <v>65</v>
      </c>
      <c r="U322" s="38"/>
      <c r="V322" s="38"/>
      <c r="W322" s="38"/>
      <c r="X322" s="38"/>
      <c r="Y322" s="30"/>
    </row>
    <row r="323" spans="1:25" s="14" customFormat="1" x14ac:dyDescent="0.35">
      <c r="A323" s="30" t="s">
        <v>130</v>
      </c>
      <c r="B323" s="30" t="s">
        <v>131</v>
      </c>
      <c r="C323" s="138" t="s">
        <v>124</v>
      </c>
      <c r="D323" s="30" t="s">
        <v>132</v>
      </c>
      <c r="E323" s="30" t="s">
        <v>122</v>
      </c>
      <c r="F323" s="30" t="s">
        <v>6</v>
      </c>
      <c r="G323" s="38"/>
      <c r="H323" s="38">
        <v>1.9883</v>
      </c>
      <c r="I323" s="30"/>
      <c r="J323" s="38">
        <v>70.67</v>
      </c>
      <c r="K323" s="38">
        <v>5</v>
      </c>
      <c r="L323" s="38"/>
      <c r="M323" s="142">
        <v>88.17</v>
      </c>
      <c r="N323" s="38"/>
      <c r="O323" s="38"/>
      <c r="P323" s="141"/>
      <c r="Q323" s="38">
        <v>1.5632999999999999</v>
      </c>
      <c r="R323" s="38"/>
      <c r="S323" s="38"/>
      <c r="T323" s="38" t="s">
        <v>65</v>
      </c>
      <c r="U323" s="38"/>
      <c r="V323" s="38"/>
      <c r="W323" s="38"/>
      <c r="X323" s="38"/>
      <c r="Y323" s="30"/>
    </row>
    <row r="324" spans="1:25" s="14" customFormat="1" x14ac:dyDescent="0.35">
      <c r="A324" s="30" t="s">
        <v>130</v>
      </c>
      <c r="B324" s="30" t="s">
        <v>131</v>
      </c>
      <c r="C324" s="30">
        <v>2309809</v>
      </c>
      <c r="D324" s="30" t="s">
        <v>132</v>
      </c>
      <c r="E324" s="30" t="s">
        <v>122</v>
      </c>
      <c r="F324" s="30" t="s">
        <v>6</v>
      </c>
      <c r="G324" s="38"/>
      <c r="H324" s="38">
        <v>1.6</v>
      </c>
      <c r="I324" s="30"/>
      <c r="J324" s="38">
        <v>78</v>
      </c>
      <c r="K324" s="38">
        <v>4</v>
      </c>
      <c r="L324" s="38"/>
      <c r="M324" s="142">
        <v>70.959999999999994</v>
      </c>
      <c r="N324" s="38"/>
      <c r="O324" s="38"/>
      <c r="P324" s="141"/>
      <c r="Q324" s="38"/>
      <c r="R324" s="38"/>
      <c r="S324" s="38"/>
      <c r="T324" s="38" t="s">
        <v>65</v>
      </c>
      <c r="U324" s="38"/>
      <c r="V324" s="38"/>
      <c r="W324" s="38"/>
      <c r="X324" s="38"/>
      <c r="Y324" s="30"/>
    </row>
    <row r="325" spans="1:25" s="14" customFormat="1" ht="17.149999999999999" customHeight="1" x14ac:dyDescent="0.35">
      <c r="A325" s="30" t="s">
        <v>130</v>
      </c>
      <c r="B325" s="30" t="s">
        <v>131</v>
      </c>
      <c r="C325" s="30">
        <v>2305357</v>
      </c>
      <c r="D325" s="30" t="s">
        <v>132</v>
      </c>
      <c r="E325" s="30" t="s">
        <v>122</v>
      </c>
      <c r="F325" s="30" t="s">
        <v>6</v>
      </c>
      <c r="G325" s="38"/>
      <c r="H325" s="38">
        <v>1.02</v>
      </c>
      <c r="I325" s="30"/>
      <c r="J325" s="38">
        <v>78</v>
      </c>
      <c r="K325" s="38">
        <v>4</v>
      </c>
      <c r="L325" s="38"/>
      <c r="M325" s="142">
        <v>73.680000000000007</v>
      </c>
      <c r="N325" s="38"/>
      <c r="O325" s="38"/>
      <c r="P325" s="141"/>
      <c r="Q325" s="38"/>
      <c r="R325" s="38"/>
      <c r="S325" s="38"/>
      <c r="T325" s="38" t="s">
        <v>65</v>
      </c>
      <c r="U325" s="38"/>
      <c r="V325" s="38"/>
      <c r="W325" s="38"/>
      <c r="X325" s="38"/>
      <c r="Y325" s="30"/>
    </row>
    <row r="326" spans="1:25" s="163" customFormat="1" x14ac:dyDescent="0.35">
      <c r="A326" s="30" t="s">
        <v>130</v>
      </c>
      <c r="B326" s="30" t="s">
        <v>131</v>
      </c>
      <c r="C326" s="30">
        <v>2223858</v>
      </c>
      <c r="D326" s="30" t="s">
        <v>132</v>
      </c>
      <c r="E326" s="30" t="s">
        <v>122</v>
      </c>
      <c r="F326" s="30" t="s">
        <v>6</v>
      </c>
      <c r="G326" s="38"/>
      <c r="H326" s="38">
        <v>1.02</v>
      </c>
      <c r="I326" s="30"/>
      <c r="J326" s="38">
        <v>76</v>
      </c>
      <c r="K326" s="38">
        <v>3</v>
      </c>
      <c r="L326" s="38"/>
      <c r="M326" s="142">
        <v>59.1</v>
      </c>
      <c r="N326" s="38"/>
      <c r="O326" s="38"/>
      <c r="P326" s="141"/>
      <c r="Q326" s="38">
        <v>1.36</v>
      </c>
      <c r="R326" s="38"/>
      <c r="S326" s="38"/>
      <c r="T326" s="38" t="s">
        <v>65</v>
      </c>
      <c r="U326" s="38"/>
      <c r="V326" s="38"/>
      <c r="W326" s="38"/>
      <c r="X326" s="38"/>
      <c r="Y326" s="30"/>
    </row>
    <row r="327" spans="1:25" x14ac:dyDescent="0.35">
      <c r="A327" s="30" t="s">
        <v>130</v>
      </c>
      <c r="B327" s="30" t="s">
        <v>133</v>
      </c>
      <c r="C327" s="30">
        <v>2200229</v>
      </c>
      <c r="D327" s="30" t="s">
        <v>132</v>
      </c>
      <c r="E327" s="30" t="s">
        <v>123</v>
      </c>
      <c r="F327" s="30" t="s">
        <v>6</v>
      </c>
      <c r="G327" s="38"/>
      <c r="H327" s="38">
        <v>0.95</v>
      </c>
      <c r="I327" s="38"/>
      <c r="J327" s="38">
        <v>73</v>
      </c>
      <c r="K327" s="142"/>
      <c r="L327" s="38"/>
      <c r="M327" s="38">
        <v>50.07</v>
      </c>
      <c r="N327" s="38"/>
      <c r="O327" s="38"/>
      <c r="P327" s="141"/>
      <c r="Q327" s="38"/>
      <c r="R327" s="38"/>
      <c r="S327" s="38"/>
      <c r="T327" s="38" t="s">
        <v>66</v>
      </c>
      <c r="U327" s="38"/>
      <c r="V327" s="38"/>
      <c r="W327" s="38"/>
      <c r="X327" s="38"/>
    </row>
    <row r="328" spans="1:25" x14ac:dyDescent="0.35">
      <c r="A328" s="30" t="s">
        <v>130</v>
      </c>
      <c r="B328" s="30" t="s">
        <v>133</v>
      </c>
      <c r="C328" s="30">
        <v>2200227</v>
      </c>
      <c r="D328" s="30" t="s">
        <v>132</v>
      </c>
      <c r="E328" s="30" t="s">
        <v>123</v>
      </c>
      <c r="F328" s="30" t="s">
        <v>6</v>
      </c>
      <c r="G328" s="38"/>
      <c r="H328" s="38">
        <v>0.93</v>
      </c>
      <c r="I328" s="38"/>
      <c r="J328" s="38">
        <v>74</v>
      </c>
      <c r="K328" s="142"/>
      <c r="L328" s="38"/>
      <c r="M328" s="38">
        <v>54.61</v>
      </c>
      <c r="N328" s="38"/>
      <c r="O328" s="38"/>
      <c r="P328" s="141"/>
      <c r="Q328" s="38"/>
      <c r="R328" s="38"/>
      <c r="S328" s="38"/>
      <c r="T328" s="38" t="s">
        <v>66</v>
      </c>
      <c r="U328" s="38"/>
      <c r="V328" s="38"/>
      <c r="W328" s="38"/>
      <c r="X328" s="38"/>
    </row>
    <row r="329" spans="1:25" x14ac:dyDescent="0.35">
      <c r="A329" s="30" t="s">
        <v>130</v>
      </c>
      <c r="B329" s="30" t="s">
        <v>133</v>
      </c>
      <c r="C329" s="30">
        <v>2200228</v>
      </c>
      <c r="D329" s="30" t="s">
        <v>132</v>
      </c>
      <c r="E329" s="30" t="s">
        <v>123</v>
      </c>
      <c r="F329" s="30" t="s">
        <v>6</v>
      </c>
      <c r="G329" s="38"/>
      <c r="H329" s="38">
        <v>0.94</v>
      </c>
      <c r="I329" s="38"/>
      <c r="J329" s="38">
        <v>72</v>
      </c>
      <c r="K329" s="142"/>
      <c r="L329" s="38"/>
      <c r="M329" s="38">
        <v>52.98</v>
      </c>
      <c r="N329" s="38"/>
      <c r="O329" s="38"/>
      <c r="P329" s="141"/>
      <c r="Q329" s="38"/>
      <c r="R329" s="38"/>
      <c r="S329" s="38"/>
      <c r="T329" s="38" t="s">
        <v>66</v>
      </c>
      <c r="U329" s="38"/>
      <c r="V329" s="38"/>
      <c r="W329" s="38"/>
      <c r="X329" s="38"/>
    </row>
    <row r="330" spans="1:25" x14ac:dyDescent="0.35">
      <c r="A330" s="30" t="s">
        <v>130</v>
      </c>
      <c r="B330" s="30" t="s">
        <v>133</v>
      </c>
      <c r="C330" s="30">
        <v>2210052</v>
      </c>
      <c r="D330" s="30" t="s">
        <v>132</v>
      </c>
      <c r="E330" s="30" t="s">
        <v>123</v>
      </c>
      <c r="F330" s="30" t="s">
        <v>6</v>
      </c>
      <c r="G330" s="38"/>
      <c r="H330" s="38">
        <v>0.83</v>
      </c>
      <c r="I330" s="38"/>
      <c r="J330" s="38">
        <v>72</v>
      </c>
      <c r="K330" s="142"/>
      <c r="L330" s="38"/>
      <c r="M330" s="38">
        <v>48.3</v>
      </c>
      <c r="N330" s="38"/>
      <c r="O330" s="38"/>
      <c r="P330" s="141"/>
      <c r="Q330" s="38"/>
      <c r="R330" s="38"/>
      <c r="S330" s="38"/>
      <c r="T330" s="38" t="s">
        <v>66</v>
      </c>
      <c r="U330" s="38"/>
      <c r="V330" s="38"/>
      <c r="W330" s="38"/>
      <c r="X330" s="38"/>
    </row>
    <row r="331" spans="1:25" x14ac:dyDescent="0.35">
      <c r="A331" s="30" t="s">
        <v>130</v>
      </c>
      <c r="B331" s="30" t="s">
        <v>133</v>
      </c>
      <c r="C331" s="30">
        <v>2186733</v>
      </c>
      <c r="D331" s="30" t="s">
        <v>132</v>
      </c>
      <c r="E331" s="30" t="s">
        <v>123</v>
      </c>
      <c r="F331" s="30" t="s">
        <v>6</v>
      </c>
      <c r="G331" s="38"/>
      <c r="H331" s="38">
        <v>0.66</v>
      </c>
      <c r="I331" s="38"/>
      <c r="J331" s="38">
        <v>75</v>
      </c>
      <c r="K331" s="142"/>
      <c r="L331" s="38"/>
      <c r="M331" s="38">
        <v>48.1</v>
      </c>
      <c r="N331" s="38"/>
      <c r="O331" s="38"/>
      <c r="P331" s="141"/>
      <c r="Q331" s="38"/>
      <c r="R331" s="38"/>
      <c r="S331" s="38"/>
      <c r="T331" s="38" t="s">
        <v>66</v>
      </c>
      <c r="U331" s="38"/>
      <c r="V331" s="38"/>
      <c r="W331" s="38"/>
      <c r="X331" s="38"/>
    </row>
    <row r="332" spans="1:25" x14ac:dyDescent="0.35">
      <c r="A332" s="30" t="s">
        <v>130</v>
      </c>
      <c r="B332" s="30" t="s">
        <v>133</v>
      </c>
      <c r="C332" s="30">
        <v>2309810</v>
      </c>
      <c r="D332" s="30" t="s">
        <v>132</v>
      </c>
      <c r="E332" s="30" t="s">
        <v>123</v>
      </c>
      <c r="F332" s="30" t="s">
        <v>6</v>
      </c>
      <c r="G332" s="38"/>
      <c r="H332" s="38">
        <v>0.76</v>
      </c>
      <c r="I332" s="38"/>
      <c r="J332" s="38">
        <v>82</v>
      </c>
      <c r="K332" s="142"/>
      <c r="L332" s="38"/>
      <c r="M332" s="38">
        <v>29.6</v>
      </c>
      <c r="N332" s="38"/>
      <c r="O332" s="38"/>
      <c r="P332" s="141"/>
      <c r="Q332" s="38"/>
      <c r="R332" s="38"/>
      <c r="S332" s="38"/>
      <c r="T332" s="38" t="s">
        <v>66</v>
      </c>
      <c r="U332" s="38"/>
      <c r="V332" s="38"/>
      <c r="W332" s="38"/>
      <c r="X332" s="38"/>
    </row>
    <row r="333" spans="1:25" x14ac:dyDescent="0.35">
      <c r="A333" s="30" t="s">
        <v>130</v>
      </c>
      <c r="B333" s="30" t="s">
        <v>133</v>
      </c>
      <c r="C333" s="30">
        <v>2309812</v>
      </c>
      <c r="D333" s="30" t="s">
        <v>132</v>
      </c>
      <c r="E333" s="30" t="s">
        <v>123</v>
      </c>
      <c r="F333" s="30" t="s">
        <v>6</v>
      </c>
      <c r="G333" s="38"/>
      <c r="H333" s="38">
        <v>0.74</v>
      </c>
      <c r="I333" s="38"/>
      <c r="J333" s="38">
        <v>73</v>
      </c>
      <c r="K333" s="142"/>
      <c r="L333" s="38"/>
      <c r="M333" s="38">
        <v>12.54</v>
      </c>
      <c r="N333" s="38"/>
      <c r="O333" s="38"/>
      <c r="P333" s="141"/>
      <c r="Q333" s="38"/>
      <c r="R333" s="38"/>
      <c r="S333" s="38"/>
      <c r="T333" s="38" t="s">
        <v>66</v>
      </c>
      <c r="U333" s="38"/>
      <c r="V333" s="38"/>
      <c r="W333" s="38"/>
      <c r="X333" s="38"/>
    </row>
    <row r="334" spans="1:25" x14ac:dyDescent="0.35">
      <c r="A334" s="30" t="s">
        <v>130</v>
      </c>
      <c r="B334" s="30" t="s">
        <v>133</v>
      </c>
      <c r="C334" s="30">
        <v>2309815</v>
      </c>
      <c r="D334" s="30" t="s">
        <v>132</v>
      </c>
      <c r="E334" s="30" t="s">
        <v>123</v>
      </c>
      <c r="F334" s="30" t="s">
        <v>6</v>
      </c>
      <c r="G334" s="38"/>
      <c r="H334" s="38">
        <v>0.79</v>
      </c>
      <c r="I334" s="38"/>
      <c r="J334" s="38">
        <v>74</v>
      </c>
      <c r="K334" s="142"/>
      <c r="L334" s="38"/>
      <c r="M334" s="38">
        <v>33.340000000000003</v>
      </c>
      <c r="N334" s="38"/>
      <c r="O334" s="38"/>
      <c r="P334" s="141"/>
      <c r="Q334" s="38"/>
      <c r="R334" s="38"/>
      <c r="S334" s="38"/>
      <c r="T334" s="38" t="s">
        <v>66</v>
      </c>
      <c r="U334" s="38"/>
      <c r="V334" s="38"/>
      <c r="W334" s="38"/>
      <c r="X334" s="38"/>
    </row>
    <row r="335" spans="1:25" x14ac:dyDescent="0.35">
      <c r="A335" s="30" t="s">
        <v>130</v>
      </c>
      <c r="B335" s="30" t="s">
        <v>133</v>
      </c>
      <c r="C335" s="30">
        <v>2305347</v>
      </c>
      <c r="D335" s="30" t="s">
        <v>132</v>
      </c>
      <c r="E335" s="30" t="s">
        <v>123</v>
      </c>
      <c r="F335" s="30" t="s">
        <v>6</v>
      </c>
      <c r="G335" s="38"/>
      <c r="H335" s="38">
        <v>0.62</v>
      </c>
      <c r="I335" s="38"/>
      <c r="J335" s="38">
        <v>78</v>
      </c>
      <c r="K335" s="142"/>
      <c r="L335" s="38"/>
      <c r="M335" s="38">
        <v>29.87</v>
      </c>
      <c r="N335" s="38"/>
      <c r="O335" s="38"/>
      <c r="P335" s="141"/>
      <c r="Q335" s="38"/>
      <c r="R335" s="38"/>
      <c r="S335" s="38"/>
      <c r="T335" s="38" t="s">
        <v>66</v>
      </c>
      <c r="U335" s="38"/>
      <c r="V335" s="38"/>
      <c r="W335" s="38"/>
      <c r="X335" s="38"/>
    </row>
    <row r="336" spans="1:25" x14ac:dyDescent="0.35">
      <c r="A336" s="30" t="s">
        <v>130</v>
      </c>
      <c r="B336" s="30" t="s">
        <v>133</v>
      </c>
      <c r="C336" s="30">
        <v>2305350</v>
      </c>
      <c r="D336" s="30" t="s">
        <v>132</v>
      </c>
      <c r="E336" s="30" t="s">
        <v>123</v>
      </c>
      <c r="F336" s="30" t="s">
        <v>6</v>
      </c>
      <c r="G336" s="38"/>
      <c r="H336" s="38">
        <v>0.68</v>
      </c>
      <c r="I336" s="38"/>
      <c r="J336" s="38">
        <v>80</v>
      </c>
      <c r="K336" s="142"/>
      <c r="L336" s="38"/>
      <c r="M336" s="38">
        <v>38.1</v>
      </c>
      <c r="N336" s="38"/>
      <c r="O336" s="38"/>
      <c r="P336" s="141"/>
      <c r="Q336" s="38"/>
      <c r="R336" s="38"/>
      <c r="S336" s="38"/>
      <c r="T336" s="38" t="s">
        <v>66</v>
      </c>
      <c r="U336" s="38"/>
      <c r="V336" s="38"/>
      <c r="W336" s="38"/>
      <c r="X336" s="38"/>
    </row>
    <row r="337" spans="1:25" ht="15.65" customHeight="1" x14ac:dyDescent="0.35">
      <c r="A337" s="30" t="s">
        <v>130</v>
      </c>
      <c r="B337" s="30" t="s">
        <v>133</v>
      </c>
      <c r="C337" s="30">
        <v>2331608</v>
      </c>
      <c r="D337" s="30" t="s">
        <v>132</v>
      </c>
      <c r="E337" s="30" t="s">
        <v>123</v>
      </c>
      <c r="F337" s="30" t="s">
        <v>6</v>
      </c>
      <c r="G337" s="38"/>
      <c r="H337" s="38">
        <v>0.98</v>
      </c>
      <c r="I337" s="38"/>
      <c r="J337" s="38">
        <v>76</v>
      </c>
      <c r="K337" s="142"/>
      <c r="L337" s="38"/>
      <c r="M337" s="38">
        <v>60.5</v>
      </c>
      <c r="N337" s="38"/>
      <c r="O337" s="38"/>
      <c r="P337" s="141"/>
      <c r="Q337" s="38"/>
      <c r="R337" s="38"/>
      <c r="S337" s="38"/>
      <c r="T337" s="38" t="s">
        <v>66</v>
      </c>
      <c r="U337" s="38"/>
      <c r="V337" s="38"/>
      <c r="W337" s="38"/>
      <c r="X337" s="38"/>
    </row>
    <row r="338" spans="1:25" x14ac:dyDescent="0.35">
      <c r="A338" s="30" t="s">
        <v>130</v>
      </c>
      <c r="B338" s="30" t="s">
        <v>133</v>
      </c>
      <c r="C338" s="30" t="s">
        <v>124</v>
      </c>
      <c r="D338" s="30" t="s">
        <v>132</v>
      </c>
      <c r="E338" s="30" t="s">
        <v>123</v>
      </c>
      <c r="F338" s="30" t="s">
        <v>6</v>
      </c>
      <c r="G338" s="38"/>
      <c r="H338" s="38">
        <v>1.51</v>
      </c>
      <c r="I338" s="38"/>
      <c r="J338" s="38">
        <v>63.55</v>
      </c>
      <c r="K338" s="142"/>
      <c r="L338" s="38"/>
      <c r="M338" s="38">
        <v>44.78</v>
      </c>
      <c r="N338" s="38"/>
      <c r="O338" s="38"/>
      <c r="P338" s="141"/>
      <c r="Q338" s="38"/>
      <c r="R338" s="38"/>
      <c r="S338" s="38">
        <v>0.88500000000000001</v>
      </c>
      <c r="T338" s="38" t="s">
        <v>65</v>
      </c>
      <c r="U338" s="38"/>
      <c r="V338" s="38"/>
      <c r="W338" s="38"/>
      <c r="X338" s="38"/>
    </row>
    <row r="339" spans="1:25" x14ac:dyDescent="0.35">
      <c r="A339" s="30" t="s">
        <v>130</v>
      </c>
      <c r="B339" s="30" t="s">
        <v>133</v>
      </c>
      <c r="C339" s="30" t="s">
        <v>124</v>
      </c>
      <c r="D339" s="30" t="s">
        <v>132</v>
      </c>
      <c r="E339" s="30" t="s">
        <v>123</v>
      </c>
      <c r="F339" s="30" t="s">
        <v>6</v>
      </c>
      <c r="G339" s="38"/>
      <c r="H339" s="38">
        <v>1.51</v>
      </c>
      <c r="I339" s="38"/>
      <c r="J339" s="38">
        <v>63.55</v>
      </c>
      <c r="K339" s="142"/>
      <c r="L339" s="38"/>
      <c r="M339" s="38">
        <v>44.78</v>
      </c>
      <c r="N339" s="38"/>
      <c r="O339" s="38"/>
      <c r="P339" s="141"/>
      <c r="Q339" s="38"/>
      <c r="R339" s="38"/>
      <c r="S339" s="38">
        <v>0.88500000000000001</v>
      </c>
      <c r="T339" s="38" t="s">
        <v>65</v>
      </c>
      <c r="U339" s="38"/>
      <c r="V339" s="38"/>
      <c r="W339" s="38"/>
      <c r="X339" s="38"/>
    </row>
    <row r="340" spans="1:25" x14ac:dyDescent="0.35">
      <c r="A340" s="30" t="s">
        <v>130</v>
      </c>
      <c r="B340" s="30" t="s">
        <v>133</v>
      </c>
      <c r="C340" s="30" t="s">
        <v>124</v>
      </c>
      <c r="D340" s="30" t="s">
        <v>132</v>
      </c>
      <c r="E340" s="30" t="s">
        <v>123</v>
      </c>
      <c r="F340" s="30" t="s">
        <v>6</v>
      </c>
      <c r="G340" s="38"/>
      <c r="H340" s="38">
        <v>1.51</v>
      </c>
      <c r="I340" s="38"/>
      <c r="J340" s="38">
        <v>63.55</v>
      </c>
      <c r="K340" s="142"/>
      <c r="L340" s="38"/>
      <c r="M340" s="38">
        <v>44.78</v>
      </c>
      <c r="N340" s="38"/>
      <c r="O340" s="38"/>
      <c r="P340" s="141"/>
      <c r="Q340" s="38"/>
      <c r="R340" s="38"/>
      <c r="S340" s="38">
        <v>0.88500000000000001</v>
      </c>
      <c r="T340" s="38" t="s">
        <v>65</v>
      </c>
      <c r="U340" s="38"/>
      <c r="V340" s="38"/>
      <c r="W340" s="38"/>
      <c r="X340" s="38"/>
    </row>
    <row r="341" spans="1:25" x14ac:dyDescent="0.35">
      <c r="A341" s="30" t="s">
        <v>130</v>
      </c>
      <c r="B341" s="30" t="s">
        <v>133</v>
      </c>
      <c r="C341" s="30" t="s">
        <v>124</v>
      </c>
      <c r="D341" s="30" t="s">
        <v>132</v>
      </c>
      <c r="E341" s="30" t="s">
        <v>123</v>
      </c>
      <c r="F341" s="30" t="s">
        <v>6</v>
      </c>
      <c r="G341" s="38"/>
      <c r="H341" s="38">
        <v>1.51</v>
      </c>
      <c r="I341" s="38"/>
      <c r="J341" s="38">
        <v>63.55</v>
      </c>
      <c r="K341" s="142"/>
      <c r="L341" s="38"/>
      <c r="M341" s="38">
        <v>44.78</v>
      </c>
      <c r="N341" s="38"/>
      <c r="O341" s="38"/>
      <c r="P341" s="141"/>
      <c r="Q341" s="38"/>
      <c r="R341" s="38"/>
      <c r="S341" s="38">
        <v>0.88500000000000001</v>
      </c>
      <c r="T341" s="38" t="s">
        <v>65</v>
      </c>
      <c r="U341" s="38"/>
      <c r="V341" s="38"/>
      <c r="W341" s="38"/>
      <c r="X341" s="38"/>
    </row>
    <row r="342" spans="1:25" x14ac:dyDescent="0.35">
      <c r="A342" s="30" t="s">
        <v>130</v>
      </c>
      <c r="B342" s="30" t="s">
        <v>133</v>
      </c>
      <c r="C342" s="30" t="s">
        <v>124</v>
      </c>
      <c r="D342" s="30" t="s">
        <v>132</v>
      </c>
      <c r="E342" s="30" t="s">
        <v>123</v>
      </c>
      <c r="F342" s="30" t="s">
        <v>6</v>
      </c>
      <c r="G342" s="38"/>
      <c r="H342" s="38">
        <v>1.51</v>
      </c>
      <c r="I342" s="38"/>
      <c r="J342" s="38">
        <v>63.55</v>
      </c>
      <c r="K342" s="142"/>
      <c r="L342" s="38"/>
      <c r="M342" s="38">
        <v>44.78</v>
      </c>
      <c r="N342" s="38"/>
      <c r="O342" s="38"/>
      <c r="P342" s="141"/>
      <c r="Q342" s="38"/>
      <c r="R342" s="38"/>
      <c r="S342" s="38">
        <v>0.88500000000000001</v>
      </c>
      <c r="T342" s="38" t="s">
        <v>65</v>
      </c>
      <c r="U342" s="38"/>
      <c r="V342" s="38"/>
      <c r="W342" s="38"/>
      <c r="X342" s="38"/>
    </row>
    <row r="343" spans="1:25" x14ac:dyDescent="0.35">
      <c r="A343" s="30" t="s">
        <v>130</v>
      </c>
      <c r="B343" s="30" t="s">
        <v>133</v>
      </c>
      <c r="C343" s="30" t="s">
        <v>124</v>
      </c>
      <c r="D343" s="30" t="s">
        <v>132</v>
      </c>
      <c r="E343" s="30" t="s">
        <v>123</v>
      </c>
      <c r="F343" s="30" t="s">
        <v>6</v>
      </c>
      <c r="G343" s="38"/>
      <c r="H343" s="38">
        <v>1.51</v>
      </c>
      <c r="I343" s="38"/>
      <c r="J343" s="38">
        <v>63.55</v>
      </c>
      <c r="K343" s="142"/>
      <c r="L343" s="38"/>
      <c r="M343" s="38">
        <v>44.78</v>
      </c>
      <c r="N343" s="38"/>
      <c r="O343" s="38"/>
      <c r="P343" s="141"/>
      <c r="Q343" s="38"/>
      <c r="R343" s="38"/>
      <c r="S343" s="38">
        <v>0.88500000000000001</v>
      </c>
      <c r="T343" s="38" t="s">
        <v>65</v>
      </c>
      <c r="U343" s="38"/>
      <c r="V343" s="38"/>
      <c r="W343" s="38"/>
      <c r="X343" s="38"/>
    </row>
    <row r="344" spans="1:25" x14ac:dyDescent="0.35">
      <c r="A344" s="30" t="s">
        <v>130</v>
      </c>
      <c r="B344" s="30" t="s">
        <v>133</v>
      </c>
      <c r="C344" s="30" t="s">
        <v>124</v>
      </c>
      <c r="D344" s="30" t="s">
        <v>132</v>
      </c>
      <c r="E344" s="30" t="s">
        <v>123</v>
      </c>
      <c r="F344" s="30" t="s">
        <v>6</v>
      </c>
      <c r="G344" s="38"/>
      <c r="H344" s="38">
        <v>1.51</v>
      </c>
      <c r="I344" s="38"/>
      <c r="J344" s="38">
        <v>63.55</v>
      </c>
      <c r="K344" s="142"/>
      <c r="L344" s="38"/>
      <c r="M344" s="38">
        <v>44.78</v>
      </c>
      <c r="N344" s="38"/>
      <c r="O344" s="38"/>
      <c r="P344" s="141"/>
      <c r="Q344" s="38"/>
      <c r="R344" s="38"/>
      <c r="S344" s="38">
        <v>0.88500000000000001</v>
      </c>
      <c r="T344" s="38" t="s">
        <v>65</v>
      </c>
      <c r="U344" s="38"/>
      <c r="V344" s="38"/>
      <c r="W344" s="38"/>
      <c r="X344" s="38"/>
    </row>
    <row r="345" spans="1:25" x14ac:dyDescent="0.35">
      <c r="A345" s="30" t="s">
        <v>130</v>
      </c>
      <c r="B345" s="30" t="s">
        <v>133</v>
      </c>
      <c r="C345" s="30" t="s">
        <v>124</v>
      </c>
      <c r="D345" s="30" t="s">
        <v>132</v>
      </c>
      <c r="E345" s="30" t="s">
        <v>123</v>
      </c>
      <c r="F345" s="30" t="s">
        <v>6</v>
      </c>
      <c r="G345" s="38"/>
      <c r="H345" s="38">
        <v>1.51</v>
      </c>
      <c r="I345" s="38"/>
      <c r="J345" s="38">
        <v>63.55</v>
      </c>
      <c r="K345" s="142"/>
      <c r="L345" s="38"/>
      <c r="M345" s="38">
        <v>44.78</v>
      </c>
      <c r="N345" s="38"/>
      <c r="O345" s="38"/>
      <c r="P345" s="141"/>
      <c r="Q345" s="38"/>
      <c r="R345" s="38"/>
      <c r="S345" s="38">
        <v>0.88500000000000001</v>
      </c>
      <c r="T345" s="38" t="s">
        <v>65</v>
      </c>
      <c r="U345" s="38"/>
      <c r="V345" s="38"/>
      <c r="W345" s="38"/>
      <c r="X345" s="38"/>
    </row>
    <row r="346" spans="1:25" s="14" customFormat="1" x14ac:dyDescent="0.35">
      <c r="A346" s="30" t="s">
        <v>130</v>
      </c>
      <c r="B346" s="30" t="s">
        <v>134</v>
      </c>
      <c r="C346" s="52">
        <v>2253551</v>
      </c>
      <c r="D346" s="30" t="s">
        <v>132</v>
      </c>
      <c r="E346" s="52" t="s">
        <v>122</v>
      </c>
      <c r="F346" s="52" t="s">
        <v>11</v>
      </c>
      <c r="G346" s="38"/>
      <c r="H346" s="38">
        <v>8863</v>
      </c>
      <c r="I346" s="38"/>
      <c r="J346" s="143">
        <v>54</v>
      </c>
      <c r="K346" s="142"/>
      <c r="L346" s="38"/>
      <c r="M346" s="38">
        <v>97.13</v>
      </c>
      <c r="N346" s="38"/>
      <c r="O346" s="38"/>
      <c r="P346" s="141"/>
      <c r="Q346" s="143"/>
      <c r="R346" s="38"/>
      <c r="S346" s="38">
        <v>9050</v>
      </c>
      <c r="T346" s="143" t="s">
        <v>66</v>
      </c>
      <c r="U346" s="38"/>
      <c r="V346" s="38"/>
      <c r="W346" s="143"/>
      <c r="X346" s="38"/>
      <c r="Y346" s="30"/>
    </row>
    <row r="347" spans="1:25" s="14" customFormat="1" x14ac:dyDescent="0.35">
      <c r="A347" s="30" t="s">
        <v>130</v>
      </c>
      <c r="B347" s="30" t="s">
        <v>134</v>
      </c>
      <c r="C347" s="52">
        <v>2202237</v>
      </c>
      <c r="D347" s="30" t="s">
        <v>132</v>
      </c>
      <c r="E347" s="52" t="s">
        <v>122</v>
      </c>
      <c r="F347" s="52" t="s">
        <v>11</v>
      </c>
      <c r="G347" s="38"/>
      <c r="H347" s="38">
        <v>7620</v>
      </c>
      <c r="I347" s="38"/>
      <c r="J347" s="143">
        <v>54</v>
      </c>
      <c r="K347" s="142"/>
      <c r="L347" s="38"/>
      <c r="M347" s="38">
        <v>97.71</v>
      </c>
      <c r="N347" s="38"/>
      <c r="O347" s="38"/>
      <c r="P347" s="141"/>
      <c r="Q347" s="143"/>
      <c r="R347" s="38"/>
      <c r="S347" s="38">
        <v>5930</v>
      </c>
      <c r="T347" s="143" t="s">
        <v>66</v>
      </c>
      <c r="U347" s="38"/>
      <c r="V347" s="38"/>
      <c r="W347" s="143"/>
      <c r="X347" s="38"/>
      <c r="Y347" s="30"/>
    </row>
    <row r="348" spans="1:25" s="14" customFormat="1" x14ac:dyDescent="0.35">
      <c r="A348" s="30" t="s">
        <v>130</v>
      </c>
      <c r="B348" s="30" t="s">
        <v>134</v>
      </c>
      <c r="C348" s="52">
        <v>2202238</v>
      </c>
      <c r="D348" s="30" t="s">
        <v>132</v>
      </c>
      <c r="E348" s="52" t="s">
        <v>122</v>
      </c>
      <c r="F348" s="52" t="s">
        <v>11</v>
      </c>
      <c r="G348" s="38"/>
      <c r="H348" s="38">
        <v>9265</v>
      </c>
      <c r="I348" s="38"/>
      <c r="J348" s="143">
        <v>54</v>
      </c>
      <c r="K348" s="142"/>
      <c r="L348" s="38"/>
      <c r="M348" s="38">
        <v>104.59</v>
      </c>
      <c r="N348" s="38"/>
      <c r="O348" s="38"/>
      <c r="P348" s="141"/>
      <c r="Q348" s="143"/>
      <c r="R348" s="38"/>
      <c r="S348" s="38">
        <v>8134</v>
      </c>
      <c r="T348" s="143" t="s">
        <v>66</v>
      </c>
      <c r="U348" s="38"/>
      <c r="V348" s="38"/>
      <c r="W348" s="143"/>
      <c r="X348" s="38"/>
      <c r="Y348" s="30"/>
    </row>
    <row r="349" spans="1:25" s="14" customFormat="1" x14ac:dyDescent="0.35">
      <c r="A349" s="30" t="s">
        <v>130</v>
      </c>
      <c r="B349" s="30" t="s">
        <v>134</v>
      </c>
      <c r="C349" s="52"/>
      <c r="D349" s="30" t="s">
        <v>132</v>
      </c>
      <c r="E349" s="52" t="s">
        <v>122</v>
      </c>
      <c r="F349" s="52" t="s">
        <v>11</v>
      </c>
      <c r="G349" s="38"/>
      <c r="H349" s="38">
        <v>7179</v>
      </c>
      <c r="I349" s="38"/>
      <c r="J349" s="143">
        <v>53</v>
      </c>
      <c r="K349" s="142"/>
      <c r="L349" s="38"/>
      <c r="M349" s="38">
        <v>90</v>
      </c>
      <c r="N349" s="38"/>
      <c r="O349" s="38"/>
      <c r="P349" s="141"/>
      <c r="Q349" s="143"/>
      <c r="R349" s="38"/>
      <c r="S349" s="38">
        <v>10019</v>
      </c>
      <c r="T349" s="143" t="s">
        <v>66</v>
      </c>
      <c r="U349" s="38"/>
      <c r="V349" s="38"/>
      <c r="W349" s="143"/>
      <c r="X349" s="38"/>
      <c r="Y349" s="30"/>
    </row>
    <row r="350" spans="1:25" s="14" customFormat="1" x14ac:dyDescent="0.35">
      <c r="A350" s="30" t="s">
        <v>130</v>
      </c>
      <c r="B350" s="30" t="s">
        <v>134</v>
      </c>
      <c r="C350" s="52"/>
      <c r="D350" s="30" t="s">
        <v>132</v>
      </c>
      <c r="E350" s="52" t="s">
        <v>122</v>
      </c>
      <c r="F350" s="52" t="s">
        <v>11</v>
      </c>
      <c r="G350" s="38"/>
      <c r="H350" s="38">
        <v>7344</v>
      </c>
      <c r="I350" s="38"/>
      <c r="J350" s="143">
        <v>51</v>
      </c>
      <c r="K350" s="142"/>
      <c r="L350" s="38"/>
      <c r="M350" s="38">
        <v>97</v>
      </c>
      <c r="N350" s="38"/>
      <c r="O350" s="38"/>
      <c r="P350" s="141"/>
      <c r="Q350" s="143"/>
      <c r="R350" s="38"/>
      <c r="S350" s="38">
        <v>12461</v>
      </c>
      <c r="T350" s="143" t="s">
        <v>66</v>
      </c>
      <c r="U350" s="38"/>
      <c r="V350" s="38"/>
      <c r="W350" s="143"/>
      <c r="X350" s="38"/>
      <c r="Y350" s="30"/>
    </row>
    <row r="351" spans="1:25" s="14" customFormat="1" x14ac:dyDescent="0.35">
      <c r="A351" s="30" t="s">
        <v>130</v>
      </c>
      <c r="B351" s="30" t="s">
        <v>134</v>
      </c>
      <c r="C351" s="52">
        <v>2357422</v>
      </c>
      <c r="D351" s="30" t="s">
        <v>132</v>
      </c>
      <c r="E351" s="52" t="s">
        <v>122</v>
      </c>
      <c r="F351" s="52" t="s">
        <v>11</v>
      </c>
      <c r="G351" s="38"/>
      <c r="H351" s="38">
        <v>8866</v>
      </c>
      <c r="I351" s="38"/>
      <c r="J351" s="143">
        <v>54</v>
      </c>
      <c r="K351" s="142"/>
      <c r="L351" s="38"/>
      <c r="M351" s="38">
        <v>95.3</v>
      </c>
      <c r="N351" s="38"/>
      <c r="O351" s="38"/>
      <c r="P351" s="141"/>
      <c r="Q351" s="143"/>
      <c r="R351" s="38"/>
      <c r="S351" s="38">
        <v>10019</v>
      </c>
      <c r="T351" s="143" t="s">
        <v>66</v>
      </c>
      <c r="U351" s="38"/>
      <c r="V351" s="38"/>
      <c r="W351" s="143"/>
      <c r="X351" s="38"/>
      <c r="Y351" s="30"/>
    </row>
    <row r="352" spans="1:25" s="14" customFormat="1" x14ac:dyDescent="0.35">
      <c r="A352" s="30" t="s">
        <v>130</v>
      </c>
      <c r="B352" s="30" t="s">
        <v>134</v>
      </c>
      <c r="C352" s="52">
        <v>2246604</v>
      </c>
      <c r="D352" s="30" t="s">
        <v>132</v>
      </c>
      <c r="E352" s="52" t="s">
        <v>122</v>
      </c>
      <c r="F352" s="52" t="s">
        <v>11</v>
      </c>
      <c r="G352" s="38"/>
      <c r="H352" s="38">
        <v>6798</v>
      </c>
      <c r="I352" s="38"/>
      <c r="J352" s="143">
        <v>51</v>
      </c>
      <c r="K352" s="142"/>
      <c r="L352" s="38"/>
      <c r="M352" s="38">
        <v>78.2</v>
      </c>
      <c r="N352" s="38"/>
      <c r="O352" s="38"/>
      <c r="P352" s="141"/>
      <c r="Q352" s="143"/>
      <c r="R352" s="38"/>
      <c r="S352" s="38">
        <v>10800</v>
      </c>
      <c r="T352" s="143" t="s">
        <v>66</v>
      </c>
      <c r="U352" s="38"/>
      <c r="V352" s="38"/>
      <c r="W352" s="143"/>
      <c r="X352" s="38"/>
      <c r="Y352" s="30"/>
    </row>
    <row r="353" spans="1:25" s="14" customFormat="1" x14ac:dyDescent="0.35">
      <c r="A353" s="30" t="s">
        <v>130</v>
      </c>
      <c r="B353" s="30" t="s">
        <v>134</v>
      </c>
      <c r="C353" s="52">
        <v>2246603</v>
      </c>
      <c r="D353" s="30" t="s">
        <v>132</v>
      </c>
      <c r="E353" s="52" t="s">
        <v>122</v>
      </c>
      <c r="F353" s="52" t="s">
        <v>11</v>
      </c>
      <c r="G353" s="38"/>
      <c r="H353" s="38">
        <v>8930</v>
      </c>
      <c r="I353" s="38"/>
      <c r="J353" s="143">
        <v>51</v>
      </c>
      <c r="K353" s="142"/>
      <c r="L353" s="38"/>
      <c r="M353" s="38">
        <v>86.9</v>
      </c>
      <c r="N353" s="38"/>
      <c r="O353" s="38"/>
      <c r="P353" s="141"/>
      <c r="Q353" s="143"/>
      <c r="R353" s="38"/>
      <c r="S353" s="38">
        <v>9900</v>
      </c>
      <c r="T353" s="143" t="s">
        <v>66</v>
      </c>
      <c r="U353" s="38"/>
      <c r="V353" s="38"/>
      <c r="W353" s="143"/>
      <c r="X353" s="38"/>
      <c r="Y353" s="30"/>
    </row>
    <row r="354" spans="1:25" s="14" customFormat="1" x14ac:dyDescent="0.35">
      <c r="A354" s="30" t="s">
        <v>130</v>
      </c>
      <c r="B354" s="30" t="s">
        <v>134</v>
      </c>
      <c r="C354" s="52"/>
      <c r="D354" s="30" t="s">
        <v>132</v>
      </c>
      <c r="E354" s="52" t="s">
        <v>122</v>
      </c>
      <c r="F354" s="52" t="s">
        <v>11</v>
      </c>
      <c r="G354" s="38"/>
      <c r="H354" s="38">
        <v>6798</v>
      </c>
      <c r="I354" s="38"/>
      <c r="J354" s="143">
        <v>51</v>
      </c>
      <c r="K354" s="142"/>
      <c r="L354" s="38"/>
      <c r="M354" s="38">
        <v>78</v>
      </c>
      <c r="N354" s="38"/>
      <c r="O354" s="38"/>
      <c r="P354" s="141"/>
      <c r="Q354" s="143"/>
      <c r="R354" s="38"/>
      <c r="S354" s="38">
        <v>13400</v>
      </c>
      <c r="T354" s="143" t="s">
        <v>66</v>
      </c>
      <c r="U354" s="38"/>
      <c r="V354" s="38"/>
      <c r="W354" s="143"/>
      <c r="X354" s="38"/>
      <c r="Y354" s="30"/>
    </row>
    <row r="355" spans="1:25" s="14" customFormat="1" x14ac:dyDescent="0.35">
      <c r="A355" s="30" t="s">
        <v>130</v>
      </c>
      <c r="B355" s="30" t="s">
        <v>134</v>
      </c>
      <c r="C355" s="52"/>
      <c r="D355" s="30" t="s">
        <v>132</v>
      </c>
      <c r="E355" s="52" t="s">
        <v>122</v>
      </c>
      <c r="F355" s="52" t="s">
        <v>11</v>
      </c>
      <c r="G355" s="38"/>
      <c r="H355" s="38">
        <v>8930</v>
      </c>
      <c r="I355" s="38"/>
      <c r="J355" s="143">
        <v>51</v>
      </c>
      <c r="K355" s="142"/>
      <c r="L355" s="38"/>
      <c r="M355" s="38">
        <v>87</v>
      </c>
      <c r="N355" s="38"/>
      <c r="O355" s="38"/>
      <c r="P355" s="141"/>
      <c r="Q355" s="143"/>
      <c r="R355" s="38"/>
      <c r="S355" s="38">
        <v>13143</v>
      </c>
      <c r="T355" s="143" t="s">
        <v>66</v>
      </c>
      <c r="U355" s="38"/>
      <c r="V355" s="38"/>
      <c r="W355" s="143"/>
      <c r="X355" s="38"/>
      <c r="Y355" s="30"/>
    </row>
    <row r="356" spans="1:25" s="14" customFormat="1" x14ac:dyDescent="0.35">
      <c r="A356" s="30" t="s">
        <v>130</v>
      </c>
      <c r="B356" s="30" t="s">
        <v>134</v>
      </c>
      <c r="C356" s="52"/>
      <c r="D356" s="30" t="s">
        <v>132</v>
      </c>
      <c r="E356" s="52" t="s">
        <v>122</v>
      </c>
      <c r="F356" s="52" t="s">
        <v>11</v>
      </c>
      <c r="G356" s="38"/>
      <c r="H356" s="38">
        <v>6798</v>
      </c>
      <c r="I356" s="38"/>
      <c r="J356" s="143">
        <v>51</v>
      </c>
      <c r="K356" s="142"/>
      <c r="L356" s="38"/>
      <c r="M356" s="38">
        <v>78</v>
      </c>
      <c r="N356" s="38"/>
      <c r="O356" s="38"/>
      <c r="P356" s="141"/>
      <c r="Q356" s="143"/>
      <c r="R356" s="38"/>
      <c r="S356" s="38">
        <v>13244</v>
      </c>
      <c r="T356" s="143" t="s">
        <v>66</v>
      </c>
      <c r="U356" s="38"/>
      <c r="V356" s="38"/>
      <c r="W356" s="143"/>
      <c r="X356" s="38"/>
      <c r="Y356" s="30"/>
    </row>
    <row r="357" spans="1:25" s="14" customFormat="1" x14ac:dyDescent="0.35">
      <c r="A357" s="30" t="s">
        <v>130</v>
      </c>
      <c r="B357" s="30" t="s">
        <v>134</v>
      </c>
      <c r="C357" s="52"/>
      <c r="D357" s="30" t="s">
        <v>132</v>
      </c>
      <c r="E357" s="52" t="s">
        <v>122</v>
      </c>
      <c r="F357" s="52" t="s">
        <v>11</v>
      </c>
      <c r="G357" s="38"/>
      <c r="H357" s="38">
        <v>8930</v>
      </c>
      <c r="I357" s="38"/>
      <c r="J357" s="143">
        <v>51</v>
      </c>
      <c r="K357" s="142"/>
      <c r="L357" s="38"/>
      <c r="M357" s="38">
        <v>87</v>
      </c>
      <c r="N357" s="38"/>
      <c r="O357" s="38"/>
      <c r="P357" s="141"/>
      <c r="Q357" s="143"/>
      <c r="R357" s="38"/>
      <c r="S357" s="38">
        <v>10317</v>
      </c>
      <c r="T357" s="143" t="s">
        <v>66</v>
      </c>
      <c r="U357" s="38"/>
      <c r="V357" s="38"/>
      <c r="W357" s="143"/>
      <c r="X357" s="38"/>
      <c r="Y357" s="30"/>
    </row>
    <row r="358" spans="1:25" x14ac:dyDescent="0.35">
      <c r="A358" s="30" t="s">
        <v>130</v>
      </c>
      <c r="B358" s="30" t="s">
        <v>134</v>
      </c>
      <c r="C358" s="30">
        <v>2358722</v>
      </c>
      <c r="D358" s="30" t="s">
        <v>132</v>
      </c>
      <c r="E358" s="30" t="s">
        <v>122</v>
      </c>
      <c r="F358" s="30" t="s">
        <v>11</v>
      </c>
      <c r="G358" s="38"/>
      <c r="H358" s="38">
        <v>10325</v>
      </c>
      <c r="I358" s="38"/>
      <c r="J358" s="38">
        <v>48</v>
      </c>
      <c r="K358" s="142"/>
      <c r="L358" s="38"/>
      <c r="M358" s="38">
        <v>87.6</v>
      </c>
      <c r="N358" s="38"/>
      <c r="O358" s="38"/>
      <c r="P358" s="141"/>
      <c r="Q358" s="38"/>
      <c r="R358" s="38"/>
      <c r="S358" s="38">
        <v>10536</v>
      </c>
      <c r="T358" s="38" t="s">
        <v>65</v>
      </c>
      <c r="U358" s="38"/>
      <c r="V358" s="38"/>
      <c r="W358" s="38"/>
      <c r="X358" s="38"/>
    </row>
    <row r="359" spans="1:25" x14ac:dyDescent="0.35">
      <c r="A359" s="30" t="s">
        <v>130</v>
      </c>
      <c r="B359" s="30" t="s">
        <v>134</v>
      </c>
      <c r="D359" s="30" t="s">
        <v>132</v>
      </c>
      <c r="E359" s="30" t="s">
        <v>122</v>
      </c>
      <c r="F359" s="30" t="s">
        <v>11</v>
      </c>
      <c r="G359" s="38"/>
      <c r="H359" s="38">
        <v>10842</v>
      </c>
      <c r="I359" s="38"/>
      <c r="J359" s="38">
        <v>46</v>
      </c>
      <c r="K359" s="142"/>
      <c r="L359" s="38"/>
      <c r="M359" s="38">
        <v>101</v>
      </c>
      <c r="N359" s="38"/>
      <c r="O359" s="38"/>
      <c r="P359" s="141"/>
      <c r="Q359" s="38"/>
      <c r="R359" s="38"/>
      <c r="S359" s="38">
        <v>9050</v>
      </c>
      <c r="T359" s="38" t="s">
        <v>65</v>
      </c>
      <c r="U359" s="38"/>
      <c r="V359" s="38"/>
      <c r="W359" s="38"/>
      <c r="X359" s="38"/>
    </row>
    <row r="360" spans="1:25" x14ac:dyDescent="0.35">
      <c r="A360" s="30" t="s">
        <v>130</v>
      </c>
      <c r="B360" s="30" t="s">
        <v>134</v>
      </c>
      <c r="D360" s="30" t="s">
        <v>132</v>
      </c>
      <c r="E360" s="30" t="s">
        <v>122</v>
      </c>
      <c r="F360" s="30" t="s">
        <v>11</v>
      </c>
      <c r="G360" s="38"/>
      <c r="H360" s="38">
        <v>11714</v>
      </c>
      <c r="I360" s="38"/>
      <c r="J360" s="38">
        <v>46</v>
      </c>
      <c r="K360" s="142"/>
      <c r="L360" s="38"/>
      <c r="M360" s="38">
        <v>85</v>
      </c>
      <c r="N360" s="38"/>
      <c r="O360" s="38"/>
      <c r="P360" s="141"/>
      <c r="Q360" s="38"/>
      <c r="R360" s="38"/>
      <c r="S360" s="38">
        <v>10536</v>
      </c>
      <c r="T360" s="38" t="s">
        <v>65</v>
      </c>
      <c r="U360" s="38"/>
      <c r="V360" s="38"/>
      <c r="W360" s="38"/>
      <c r="X360" s="38"/>
    </row>
    <row r="361" spans="1:25" x14ac:dyDescent="0.35">
      <c r="A361" s="30" t="s">
        <v>130</v>
      </c>
      <c r="B361" s="30" t="s">
        <v>134</v>
      </c>
      <c r="D361" s="30" t="s">
        <v>132</v>
      </c>
      <c r="E361" s="30" t="s">
        <v>122</v>
      </c>
      <c r="F361" s="30" t="s">
        <v>11</v>
      </c>
      <c r="G361" s="38"/>
      <c r="H361" s="38">
        <v>11145</v>
      </c>
      <c r="I361" s="38"/>
      <c r="J361" s="38">
        <v>54</v>
      </c>
      <c r="K361" s="142"/>
      <c r="L361" s="38"/>
      <c r="M361" s="38">
        <v>82</v>
      </c>
      <c r="N361" s="38"/>
      <c r="O361" s="38"/>
      <c r="P361" s="141"/>
      <c r="Q361" s="38"/>
      <c r="R361" s="38"/>
      <c r="S361" s="38">
        <v>13400</v>
      </c>
      <c r="T361" s="38" t="s">
        <v>65</v>
      </c>
      <c r="U361" s="38"/>
      <c r="V361" s="38"/>
      <c r="W361" s="38"/>
      <c r="X361" s="38"/>
    </row>
    <row r="362" spans="1:25" x14ac:dyDescent="0.35">
      <c r="A362" s="30" t="s">
        <v>130</v>
      </c>
      <c r="B362" s="30" t="s">
        <v>134</v>
      </c>
      <c r="D362" s="30" t="s">
        <v>132</v>
      </c>
      <c r="E362" s="30" t="s">
        <v>122</v>
      </c>
      <c r="F362" s="30" t="s">
        <v>11</v>
      </c>
      <c r="G362" s="38"/>
      <c r="H362" s="38">
        <v>9253</v>
      </c>
      <c r="I362" s="38"/>
      <c r="J362" s="38">
        <v>48</v>
      </c>
      <c r="K362" s="142"/>
      <c r="L362" s="38"/>
      <c r="M362" s="38">
        <v>86</v>
      </c>
      <c r="N362" s="38"/>
      <c r="O362" s="38"/>
      <c r="P362" s="141"/>
      <c r="Q362" s="38"/>
      <c r="R362" s="38"/>
      <c r="S362" s="38">
        <v>9050</v>
      </c>
      <c r="T362" s="38" t="s">
        <v>65</v>
      </c>
      <c r="U362" s="38"/>
      <c r="V362" s="38"/>
      <c r="W362" s="38"/>
      <c r="X362" s="38"/>
    </row>
    <row r="363" spans="1:25" x14ac:dyDescent="0.35">
      <c r="A363" s="30" t="s">
        <v>130</v>
      </c>
      <c r="B363" s="30" t="s">
        <v>134</v>
      </c>
      <c r="C363" s="30">
        <v>2218712</v>
      </c>
      <c r="D363" s="30" t="s">
        <v>132</v>
      </c>
      <c r="E363" s="30" t="s">
        <v>122</v>
      </c>
      <c r="F363" s="30" t="s">
        <v>11</v>
      </c>
      <c r="G363" s="38"/>
      <c r="H363" s="38">
        <v>6600</v>
      </c>
      <c r="I363" s="38"/>
      <c r="J363" s="38">
        <v>48</v>
      </c>
      <c r="K363" s="142"/>
      <c r="L363" s="38"/>
      <c r="M363" s="38">
        <v>101.76</v>
      </c>
      <c r="N363" s="38"/>
      <c r="O363" s="38"/>
      <c r="P363" s="141"/>
      <c r="Q363" s="38"/>
      <c r="R363" s="38"/>
      <c r="S363" s="38">
        <v>8582</v>
      </c>
      <c r="T363" s="38" t="s">
        <v>65</v>
      </c>
      <c r="U363" s="38"/>
      <c r="V363" s="38"/>
      <c r="W363" s="38"/>
      <c r="X363" s="38"/>
    </row>
    <row r="364" spans="1:25" x14ac:dyDescent="0.35">
      <c r="A364" s="30" t="s">
        <v>130</v>
      </c>
      <c r="B364" s="30" t="s">
        <v>134</v>
      </c>
      <c r="D364" s="30" t="s">
        <v>132</v>
      </c>
      <c r="E364" s="30" t="s">
        <v>122</v>
      </c>
      <c r="F364" s="30" t="s">
        <v>11</v>
      </c>
      <c r="G364" s="38"/>
      <c r="H364" s="38">
        <v>11200</v>
      </c>
      <c r="I364" s="38"/>
      <c r="J364" s="38">
        <v>46</v>
      </c>
      <c r="K364" s="142"/>
      <c r="L364" s="38"/>
      <c r="M364" s="38">
        <v>84</v>
      </c>
      <c r="N364" s="38"/>
      <c r="O364" s="38"/>
      <c r="P364" s="141"/>
      <c r="Q364" s="38"/>
      <c r="R364" s="38"/>
      <c r="S364" s="38">
        <v>12465</v>
      </c>
      <c r="T364" s="38" t="s">
        <v>65</v>
      </c>
      <c r="U364" s="38"/>
      <c r="V364" s="38"/>
      <c r="W364" s="38"/>
      <c r="X364" s="38"/>
    </row>
    <row r="365" spans="1:25" x14ac:dyDescent="0.35">
      <c r="A365" s="30" t="s">
        <v>130</v>
      </c>
      <c r="B365" s="30" t="s">
        <v>134</v>
      </c>
      <c r="D365" s="30" t="s">
        <v>132</v>
      </c>
      <c r="E365" s="30" t="s">
        <v>122</v>
      </c>
      <c r="F365" s="30" t="s">
        <v>11</v>
      </c>
      <c r="G365" s="38"/>
      <c r="H365" s="38">
        <v>9082</v>
      </c>
      <c r="I365" s="38"/>
      <c r="J365" s="38">
        <v>46</v>
      </c>
      <c r="K365" s="142"/>
      <c r="L365" s="38"/>
      <c r="M365" s="38">
        <v>101</v>
      </c>
      <c r="N365" s="38"/>
      <c r="O365" s="38"/>
      <c r="P365" s="141"/>
      <c r="Q365" s="38"/>
      <c r="R365" s="38"/>
      <c r="S365" s="38">
        <v>10389</v>
      </c>
      <c r="T365" s="38" t="s">
        <v>65</v>
      </c>
      <c r="U365" s="38"/>
      <c r="V365" s="38"/>
      <c r="W365" s="38"/>
      <c r="X365" s="38"/>
    </row>
    <row r="366" spans="1:25" x14ac:dyDescent="0.35">
      <c r="A366" s="30" t="s">
        <v>130</v>
      </c>
      <c r="B366" s="30" t="s">
        <v>134</v>
      </c>
      <c r="D366" s="30" t="s">
        <v>132</v>
      </c>
      <c r="E366" s="30" t="s">
        <v>122</v>
      </c>
      <c r="F366" s="30" t="s">
        <v>11</v>
      </c>
      <c r="G366" s="38"/>
      <c r="H366" s="38">
        <v>10000</v>
      </c>
      <c r="I366" s="38"/>
      <c r="J366" s="38">
        <v>56</v>
      </c>
      <c r="K366" s="142"/>
      <c r="L366" s="38"/>
      <c r="M366" s="38">
        <v>93</v>
      </c>
      <c r="N366" s="38"/>
      <c r="O366" s="38"/>
      <c r="P366" s="141"/>
      <c r="Q366" s="38"/>
      <c r="R366" s="38"/>
      <c r="S366" s="38">
        <v>8858</v>
      </c>
      <c r="T366" s="38" t="s">
        <v>65</v>
      </c>
      <c r="U366" s="38"/>
      <c r="V366" s="38"/>
      <c r="W366" s="38"/>
      <c r="X366" s="38"/>
    </row>
    <row r="367" spans="1:25" x14ac:dyDescent="0.35">
      <c r="A367" s="30" t="s">
        <v>130</v>
      </c>
      <c r="B367" s="30" t="s">
        <v>134</v>
      </c>
      <c r="D367" s="30" t="s">
        <v>132</v>
      </c>
      <c r="E367" s="30" t="s">
        <v>122</v>
      </c>
      <c r="F367" s="30" t="s">
        <v>11</v>
      </c>
      <c r="G367" s="38"/>
      <c r="H367" s="38">
        <v>11000</v>
      </c>
      <c r="I367" s="38"/>
      <c r="J367" s="38">
        <v>54</v>
      </c>
      <c r="K367" s="142"/>
      <c r="L367" s="38"/>
      <c r="M367" s="38">
        <v>94</v>
      </c>
      <c r="N367" s="38"/>
      <c r="O367" s="38"/>
      <c r="P367" s="141"/>
      <c r="Q367" s="38"/>
      <c r="R367" s="38"/>
      <c r="S367" s="38">
        <v>10317</v>
      </c>
      <c r="T367" s="38" t="s">
        <v>65</v>
      </c>
      <c r="U367" s="38"/>
      <c r="V367" s="38"/>
      <c r="W367" s="38"/>
      <c r="X367" s="38"/>
    </row>
    <row r="368" spans="1:25" x14ac:dyDescent="0.35">
      <c r="A368" s="30" t="s">
        <v>130</v>
      </c>
      <c r="B368" s="30" t="s">
        <v>134</v>
      </c>
      <c r="C368" s="30">
        <v>2204842</v>
      </c>
      <c r="D368" s="30" t="s">
        <v>132</v>
      </c>
      <c r="E368" s="30" t="s">
        <v>122</v>
      </c>
      <c r="F368" s="30" t="s">
        <v>11</v>
      </c>
      <c r="G368" s="38"/>
      <c r="H368" s="38">
        <v>11425</v>
      </c>
      <c r="I368" s="38"/>
      <c r="J368" s="38">
        <v>54</v>
      </c>
      <c r="K368" s="142"/>
      <c r="L368" s="38"/>
      <c r="M368" s="38">
        <v>113.8</v>
      </c>
      <c r="N368" s="38"/>
      <c r="O368" s="38"/>
      <c r="P368" s="141"/>
      <c r="Q368" s="38"/>
      <c r="R368" s="38"/>
      <c r="S368" s="38">
        <v>8744</v>
      </c>
      <c r="T368" s="38" t="s">
        <v>65</v>
      </c>
      <c r="U368" s="38"/>
      <c r="V368" s="38"/>
      <c r="W368" s="38"/>
      <c r="X368" s="38"/>
    </row>
    <row r="369" spans="1:24" x14ac:dyDescent="0.35">
      <c r="A369" s="30" t="s">
        <v>130</v>
      </c>
      <c r="B369" s="30" t="s">
        <v>134</v>
      </c>
      <c r="C369" s="30">
        <v>2217945</v>
      </c>
      <c r="D369" s="30" t="s">
        <v>132</v>
      </c>
      <c r="E369" s="30" t="s">
        <v>122</v>
      </c>
      <c r="F369" s="30" t="s">
        <v>11</v>
      </c>
      <c r="G369" s="38"/>
      <c r="H369" s="38">
        <v>11841</v>
      </c>
      <c r="I369" s="38"/>
      <c r="J369" s="38">
        <v>54</v>
      </c>
      <c r="K369" s="142"/>
      <c r="L369" s="38"/>
      <c r="M369" s="38">
        <v>113.8</v>
      </c>
      <c r="N369" s="38"/>
      <c r="O369" s="38"/>
      <c r="P369" s="141"/>
      <c r="Q369" s="38"/>
      <c r="R369" s="38"/>
      <c r="S369" s="38"/>
      <c r="T369" s="38" t="s">
        <v>65</v>
      </c>
      <c r="U369" s="38"/>
      <c r="V369" s="38"/>
      <c r="W369" s="38"/>
      <c r="X369" s="38"/>
    </row>
    <row r="370" spans="1:24" x14ac:dyDescent="0.35">
      <c r="A370" s="30" t="s">
        <v>130</v>
      </c>
      <c r="B370" s="30" t="s">
        <v>134</v>
      </c>
      <c r="D370" s="30" t="s">
        <v>132</v>
      </c>
      <c r="E370" s="30" t="s">
        <v>122</v>
      </c>
      <c r="F370" s="30" t="s">
        <v>11</v>
      </c>
      <c r="G370" s="38"/>
      <c r="H370" s="38">
        <v>12000</v>
      </c>
      <c r="I370" s="38"/>
      <c r="J370" s="38">
        <v>48</v>
      </c>
      <c r="K370" s="142"/>
      <c r="L370" s="38"/>
      <c r="M370" s="38">
        <v>103</v>
      </c>
      <c r="N370" s="38"/>
      <c r="O370" s="38"/>
      <c r="P370" s="141"/>
      <c r="Q370" s="38"/>
      <c r="R370" s="38"/>
      <c r="S370" s="38">
        <v>13244</v>
      </c>
      <c r="T370" s="38" t="s">
        <v>65</v>
      </c>
      <c r="U370" s="38"/>
      <c r="V370" s="38"/>
      <c r="W370" s="38"/>
      <c r="X370" s="38"/>
    </row>
    <row r="371" spans="1:24" x14ac:dyDescent="0.35">
      <c r="A371" s="30" t="s">
        <v>130</v>
      </c>
      <c r="B371" s="30" t="s">
        <v>134</v>
      </c>
      <c r="C371" s="30">
        <v>2351745</v>
      </c>
      <c r="D371" s="30" t="s">
        <v>132</v>
      </c>
      <c r="E371" s="30" t="s">
        <v>122</v>
      </c>
      <c r="F371" s="30" t="s">
        <v>11</v>
      </c>
      <c r="G371" s="38"/>
      <c r="H371" s="38">
        <v>10474</v>
      </c>
      <c r="I371" s="38"/>
      <c r="J371" s="38">
        <v>55</v>
      </c>
      <c r="K371" s="142"/>
      <c r="L371" s="38"/>
      <c r="M371" s="38">
        <v>94.9</v>
      </c>
      <c r="N371" s="38"/>
      <c r="O371" s="38"/>
      <c r="P371" s="141"/>
      <c r="Q371" s="38"/>
      <c r="R371" s="38"/>
      <c r="S371" s="38">
        <v>9800</v>
      </c>
      <c r="T371" s="38" t="s">
        <v>65</v>
      </c>
      <c r="U371" s="38"/>
      <c r="V371" s="38"/>
      <c r="W371" s="38"/>
      <c r="X371" s="38"/>
    </row>
    <row r="372" spans="1:24" x14ac:dyDescent="0.35">
      <c r="A372" s="30" t="s">
        <v>130</v>
      </c>
      <c r="B372" s="30" t="s">
        <v>134</v>
      </c>
      <c r="C372" s="30">
        <v>2224692</v>
      </c>
      <c r="D372" s="30" t="s">
        <v>132</v>
      </c>
      <c r="E372" s="30" t="s">
        <v>122</v>
      </c>
      <c r="F372" s="30" t="s">
        <v>11</v>
      </c>
      <c r="G372" s="38"/>
      <c r="H372" s="38">
        <v>9747</v>
      </c>
      <c r="I372" s="38"/>
      <c r="J372" s="38">
        <v>53</v>
      </c>
      <c r="K372" s="142"/>
      <c r="L372" s="38"/>
      <c r="M372" s="38">
        <v>99.5</v>
      </c>
      <c r="N372" s="38"/>
      <c r="O372" s="38"/>
      <c r="P372" s="141"/>
      <c r="Q372" s="38"/>
      <c r="R372" s="38"/>
      <c r="S372" s="38">
        <v>9800</v>
      </c>
      <c r="T372" s="38" t="s">
        <v>65</v>
      </c>
      <c r="U372" s="38"/>
      <c r="V372" s="38"/>
      <c r="W372" s="38"/>
      <c r="X372" s="38"/>
    </row>
    <row r="373" spans="1:24" x14ac:dyDescent="0.35">
      <c r="A373" s="30" t="s">
        <v>130</v>
      </c>
      <c r="B373" s="30" t="s">
        <v>134</v>
      </c>
      <c r="D373" s="30" t="s">
        <v>132</v>
      </c>
      <c r="E373" s="30" t="s">
        <v>122</v>
      </c>
      <c r="F373" s="30" t="s">
        <v>11</v>
      </c>
      <c r="G373" s="38"/>
      <c r="H373" s="38">
        <v>11435</v>
      </c>
      <c r="I373" s="38"/>
      <c r="J373" s="38">
        <v>53</v>
      </c>
      <c r="K373" s="142"/>
      <c r="L373" s="38"/>
      <c r="M373" s="38">
        <v>102</v>
      </c>
      <c r="N373" s="38"/>
      <c r="O373" s="38"/>
      <c r="P373" s="141"/>
      <c r="Q373" s="38"/>
      <c r="R373" s="38"/>
      <c r="S373" s="38">
        <v>13143</v>
      </c>
      <c r="T373" s="38" t="s">
        <v>65</v>
      </c>
      <c r="U373" s="38"/>
      <c r="V373" s="38"/>
      <c r="W373" s="38"/>
      <c r="X373" s="38"/>
    </row>
    <row r="374" spans="1:24" x14ac:dyDescent="0.35">
      <c r="A374" s="30" t="s">
        <v>130</v>
      </c>
      <c r="B374" s="30" t="s">
        <v>134</v>
      </c>
      <c r="C374" s="30">
        <v>2217059</v>
      </c>
      <c r="D374" s="30" t="s">
        <v>132</v>
      </c>
      <c r="E374" s="30" t="s">
        <v>122</v>
      </c>
      <c r="F374" s="30" t="s">
        <v>11</v>
      </c>
      <c r="G374" s="38"/>
      <c r="H374" s="38">
        <v>9293</v>
      </c>
      <c r="I374" s="38"/>
      <c r="J374" s="38">
        <v>46</v>
      </c>
      <c r="K374" s="142"/>
      <c r="L374" s="38"/>
      <c r="M374" s="38">
        <v>100.1</v>
      </c>
      <c r="N374" s="38"/>
      <c r="O374" s="38"/>
      <c r="P374" s="141"/>
      <c r="Q374" s="38"/>
      <c r="R374" s="38"/>
      <c r="S374" s="38">
        <v>9800</v>
      </c>
      <c r="T374" s="38" t="s">
        <v>65</v>
      </c>
      <c r="U374" s="38"/>
      <c r="V374" s="38"/>
      <c r="W374" s="38"/>
      <c r="X374" s="38"/>
    </row>
    <row r="375" spans="1:24" x14ac:dyDescent="0.35">
      <c r="A375" s="30" t="s">
        <v>130</v>
      </c>
      <c r="B375" s="30" t="s">
        <v>134</v>
      </c>
      <c r="C375" s="30">
        <v>2203921</v>
      </c>
      <c r="D375" s="30" t="s">
        <v>132</v>
      </c>
      <c r="E375" s="30" t="s">
        <v>122</v>
      </c>
      <c r="F375" s="30" t="s">
        <v>11</v>
      </c>
      <c r="G375" s="38"/>
      <c r="H375" s="38">
        <v>10517</v>
      </c>
      <c r="I375" s="38"/>
      <c r="J375" s="38">
        <v>52</v>
      </c>
      <c r="K375" s="142"/>
      <c r="L375" s="38"/>
      <c r="M375" s="38">
        <v>60.3</v>
      </c>
      <c r="N375" s="38"/>
      <c r="O375" s="38"/>
      <c r="P375" s="141"/>
      <c r="Q375" s="38"/>
      <c r="R375" s="38"/>
      <c r="S375" s="38">
        <v>14164</v>
      </c>
      <c r="T375" s="38" t="s">
        <v>65</v>
      </c>
      <c r="U375" s="38"/>
      <c r="V375" s="38"/>
      <c r="W375" s="38"/>
      <c r="X375" s="38"/>
    </row>
    <row r="376" spans="1:24" x14ac:dyDescent="0.35">
      <c r="A376" s="30" t="s">
        <v>130</v>
      </c>
      <c r="B376" s="30" t="s">
        <v>134</v>
      </c>
      <c r="C376" s="30">
        <v>2295100</v>
      </c>
      <c r="D376" s="30" t="s">
        <v>132</v>
      </c>
      <c r="E376" s="30" t="s">
        <v>122</v>
      </c>
      <c r="F376" s="30" t="s">
        <v>11</v>
      </c>
      <c r="G376" s="38"/>
      <c r="H376" s="38">
        <v>9864</v>
      </c>
      <c r="I376" s="38"/>
      <c r="J376" s="38">
        <v>49</v>
      </c>
      <c r="K376" s="142"/>
      <c r="L376" s="38"/>
      <c r="M376" s="38">
        <v>96.9</v>
      </c>
      <c r="N376" s="38"/>
      <c r="O376" s="38"/>
      <c r="P376" s="141"/>
      <c r="Q376" s="38"/>
      <c r="R376" s="38"/>
      <c r="S376" s="38">
        <v>10536</v>
      </c>
      <c r="T376" s="38" t="s">
        <v>65</v>
      </c>
      <c r="U376" s="38"/>
      <c r="V376" s="38"/>
      <c r="W376" s="38"/>
      <c r="X376" s="38"/>
    </row>
    <row r="377" spans="1:24" x14ac:dyDescent="0.35">
      <c r="A377" s="30" t="s">
        <v>130</v>
      </c>
      <c r="B377" s="30" t="s">
        <v>134</v>
      </c>
      <c r="D377" s="30" t="s">
        <v>132</v>
      </c>
      <c r="E377" s="30" t="s">
        <v>122</v>
      </c>
      <c r="F377" s="30" t="s">
        <v>11</v>
      </c>
      <c r="G377" s="38"/>
      <c r="H377" s="38">
        <v>9864</v>
      </c>
      <c r="I377" s="38"/>
      <c r="J377" s="38">
        <v>49</v>
      </c>
      <c r="K377" s="142"/>
      <c r="L377" s="38"/>
      <c r="M377" s="38">
        <v>97</v>
      </c>
      <c r="N377" s="38"/>
      <c r="O377" s="38"/>
      <c r="P377" s="141"/>
      <c r="Q377" s="38"/>
      <c r="R377" s="38"/>
      <c r="S377" s="38">
        <v>9395</v>
      </c>
      <c r="T377" s="38" t="s">
        <v>65</v>
      </c>
      <c r="U377" s="38"/>
      <c r="V377" s="38"/>
      <c r="W377" s="38"/>
      <c r="X377" s="38"/>
    </row>
    <row r="378" spans="1:24" x14ac:dyDescent="0.35">
      <c r="A378" s="30" t="s">
        <v>130</v>
      </c>
      <c r="B378" s="30" t="s">
        <v>134</v>
      </c>
      <c r="C378" s="30">
        <v>2357648</v>
      </c>
      <c r="D378" s="30" t="s">
        <v>132</v>
      </c>
      <c r="E378" s="30" t="s">
        <v>122</v>
      </c>
      <c r="F378" s="30" t="s">
        <v>11</v>
      </c>
      <c r="G378" s="38"/>
      <c r="H378" s="38">
        <v>11145</v>
      </c>
      <c r="I378" s="38"/>
      <c r="J378" s="38">
        <v>54</v>
      </c>
      <c r="K378" s="142"/>
      <c r="L378" s="38"/>
      <c r="M378" s="38">
        <v>81.5</v>
      </c>
      <c r="N378" s="38"/>
      <c r="O378" s="38"/>
      <c r="P378" s="141"/>
      <c r="Q378" s="38"/>
      <c r="R378" s="38"/>
      <c r="S378" s="38">
        <v>9050</v>
      </c>
      <c r="T378" s="38" t="s">
        <v>65</v>
      </c>
      <c r="U378" s="38"/>
      <c r="V378" s="38"/>
      <c r="W378" s="38"/>
      <c r="X378" s="38"/>
    </row>
    <row r="379" spans="1:24" x14ac:dyDescent="0.35">
      <c r="A379" s="30" t="s">
        <v>130</v>
      </c>
      <c r="B379" s="30" t="s">
        <v>134</v>
      </c>
      <c r="C379" s="30">
        <v>2210296</v>
      </c>
      <c r="D379" s="30" t="s">
        <v>132</v>
      </c>
      <c r="E379" s="30" t="s">
        <v>122</v>
      </c>
      <c r="F379" s="30" t="s">
        <v>11</v>
      </c>
      <c r="G379" s="38"/>
      <c r="H379" s="38">
        <v>8983</v>
      </c>
      <c r="I379" s="38"/>
      <c r="J379" s="38">
        <v>49</v>
      </c>
      <c r="K379" s="142"/>
      <c r="L379" s="38"/>
      <c r="M379" s="38">
        <v>94</v>
      </c>
      <c r="N379" s="38"/>
      <c r="O379" s="38"/>
      <c r="P379" s="141"/>
      <c r="Q379" s="38"/>
      <c r="R379" s="38"/>
      <c r="S379" s="38">
        <v>8134</v>
      </c>
      <c r="T379" s="38" t="s">
        <v>65</v>
      </c>
      <c r="U379" s="38"/>
      <c r="V379" s="38"/>
      <c r="W379" s="38"/>
      <c r="X379" s="38"/>
    </row>
    <row r="380" spans="1:24" x14ac:dyDescent="0.35">
      <c r="A380" s="30" t="s">
        <v>130</v>
      </c>
      <c r="B380" s="30" t="s">
        <v>134</v>
      </c>
      <c r="C380" s="30">
        <v>2210297</v>
      </c>
      <c r="D380" s="30" t="s">
        <v>132</v>
      </c>
      <c r="E380" s="30" t="s">
        <v>122</v>
      </c>
      <c r="F380" s="30" t="s">
        <v>11</v>
      </c>
      <c r="G380" s="38"/>
      <c r="H380" s="38">
        <v>9432</v>
      </c>
      <c r="I380" s="38"/>
      <c r="J380" s="38">
        <v>48</v>
      </c>
      <c r="K380" s="142"/>
      <c r="L380" s="38"/>
      <c r="M380" s="38">
        <v>96.2</v>
      </c>
      <c r="N380" s="38"/>
      <c r="O380" s="38"/>
      <c r="P380" s="141"/>
      <c r="Q380" s="38"/>
      <c r="R380" s="38"/>
      <c r="S380" s="38">
        <v>9000</v>
      </c>
      <c r="T380" s="38" t="s">
        <v>65</v>
      </c>
      <c r="U380" s="38"/>
      <c r="V380" s="38"/>
      <c r="W380" s="38"/>
      <c r="X380" s="38"/>
    </row>
    <row r="381" spans="1:24" x14ac:dyDescent="0.35">
      <c r="A381" s="30" t="s">
        <v>130</v>
      </c>
      <c r="B381" s="30" t="s">
        <v>134</v>
      </c>
      <c r="D381" s="30" t="s">
        <v>132</v>
      </c>
      <c r="E381" s="30" t="s">
        <v>122</v>
      </c>
      <c r="F381" s="30" t="s">
        <v>11</v>
      </c>
      <c r="G381" s="38"/>
      <c r="H381" s="38">
        <v>8983</v>
      </c>
      <c r="I381" s="38"/>
      <c r="J381" s="38">
        <v>49</v>
      </c>
      <c r="K381" s="142"/>
      <c r="L381" s="38"/>
      <c r="M381" s="38">
        <v>94</v>
      </c>
      <c r="N381" s="38"/>
      <c r="O381" s="38"/>
      <c r="P381" s="141"/>
      <c r="Q381" s="38"/>
      <c r="R381" s="38"/>
      <c r="S381" s="38">
        <v>10389</v>
      </c>
      <c r="T381" s="38" t="s">
        <v>65</v>
      </c>
      <c r="U381" s="38"/>
      <c r="V381" s="38"/>
      <c r="W381" s="38"/>
      <c r="X381" s="38"/>
    </row>
    <row r="382" spans="1:24" x14ac:dyDescent="0.35">
      <c r="A382" s="30" t="s">
        <v>130</v>
      </c>
      <c r="B382" s="30" t="s">
        <v>134</v>
      </c>
      <c r="D382" s="30" t="s">
        <v>132</v>
      </c>
      <c r="E382" s="30" t="s">
        <v>122</v>
      </c>
      <c r="F382" s="30" t="s">
        <v>11</v>
      </c>
      <c r="G382" s="38"/>
      <c r="H382" s="38">
        <v>9432</v>
      </c>
      <c r="I382" s="38"/>
      <c r="J382" s="38">
        <v>48</v>
      </c>
      <c r="K382" s="142"/>
      <c r="L382" s="38"/>
      <c r="M382" s="38">
        <v>96</v>
      </c>
      <c r="N382" s="38"/>
      <c r="O382" s="38"/>
      <c r="P382" s="141"/>
      <c r="Q382" s="38"/>
      <c r="R382" s="38"/>
      <c r="S382" s="38">
        <v>10389</v>
      </c>
      <c r="T382" s="38" t="s">
        <v>65</v>
      </c>
      <c r="U382" s="38"/>
      <c r="V382" s="38"/>
      <c r="W382" s="38"/>
      <c r="X382" s="38"/>
    </row>
    <row r="383" spans="1:24" x14ac:dyDescent="0.35">
      <c r="A383" s="30" t="s">
        <v>130</v>
      </c>
      <c r="B383" s="30" t="s">
        <v>134</v>
      </c>
      <c r="C383" s="30">
        <v>2224696</v>
      </c>
      <c r="D383" s="30" t="s">
        <v>132</v>
      </c>
      <c r="E383" s="30" t="s">
        <v>122</v>
      </c>
      <c r="F383" s="30" t="s">
        <v>11</v>
      </c>
      <c r="G383" s="38"/>
      <c r="H383" s="38">
        <v>9527</v>
      </c>
      <c r="I383" s="38"/>
      <c r="J383" s="38">
        <v>48</v>
      </c>
      <c r="K383" s="142"/>
      <c r="L383" s="38"/>
      <c r="M383" s="38">
        <v>92.1</v>
      </c>
      <c r="N383" s="38"/>
      <c r="O383" s="38"/>
      <c r="P383" s="141"/>
      <c r="Q383" s="38"/>
      <c r="R383" s="38"/>
      <c r="S383" s="38">
        <v>8858</v>
      </c>
      <c r="T383" s="38" t="s">
        <v>65</v>
      </c>
      <c r="U383" s="38"/>
      <c r="V383" s="38"/>
      <c r="W383" s="38"/>
      <c r="X383" s="38"/>
    </row>
    <row r="384" spans="1:24" x14ac:dyDescent="0.35">
      <c r="A384" s="30" t="s">
        <v>130</v>
      </c>
      <c r="B384" s="30" t="s">
        <v>134</v>
      </c>
      <c r="C384" s="30">
        <v>2348451</v>
      </c>
      <c r="D384" s="30" t="s">
        <v>132</v>
      </c>
      <c r="E384" s="30" t="s">
        <v>122</v>
      </c>
      <c r="F384" s="30" t="s">
        <v>11</v>
      </c>
      <c r="G384" s="38"/>
      <c r="H384" s="38">
        <v>10280</v>
      </c>
      <c r="I384" s="38"/>
      <c r="J384" s="38">
        <v>56</v>
      </c>
      <c r="K384" s="142"/>
      <c r="L384" s="38"/>
      <c r="M384" s="38">
        <v>144.1</v>
      </c>
      <c r="N384" s="38"/>
      <c r="O384" s="38"/>
      <c r="P384" s="141"/>
      <c r="Q384" s="38"/>
      <c r="R384" s="38"/>
      <c r="S384" s="38">
        <v>10317</v>
      </c>
      <c r="T384" s="38" t="s">
        <v>65</v>
      </c>
      <c r="U384" s="38"/>
      <c r="V384" s="38"/>
      <c r="W384" s="38"/>
      <c r="X384" s="38"/>
    </row>
    <row r="385" spans="1:24" x14ac:dyDescent="0.35">
      <c r="A385" s="30" t="s">
        <v>130</v>
      </c>
      <c r="B385" s="30" t="s">
        <v>134</v>
      </c>
      <c r="C385" s="30">
        <v>2200242</v>
      </c>
      <c r="D385" s="30" t="s">
        <v>132</v>
      </c>
      <c r="E385" s="30" t="s">
        <v>122</v>
      </c>
      <c r="F385" s="30" t="s">
        <v>11</v>
      </c>
      <c r="G385" s="38"/>
      <c r="H385" s="38">
        <v>10200</v>
      </c>
      <c r="I385" s="38"/>
      <c r="J385" s="38">
        <v>52</v>
      </c>
      <c r="K385" s="142"/>
      <c r="L385" s="38"/>
      <c r="M385" s="38">
        <v>136</v>
      </c>
      <c r="N385" s="38"/>
      <c r="O385" s="38"/>
      <c r="P385" s="141"/>
      <c r="Q385" s="38"/>
      <c r="R385" s="38"/>
      <c r="S385" s="38">
        <v>8744</v>
      </c>
      <c r="T385" s="38" t="s">
        <v>65</v>
      </c>
      <c r="U385" s="38"/>
      <c r="V385" s="38"/>
      <c r="W385" s="38"/>
      <c r="X385" s="38"/>
    </row>
    <row r="386" spans="1:24" x14ac:dyDescent="0.35">
      <c r="A386" s="30" t="s">
        <v>130</v>
      </c>
      <c r="B386" s="30" t="s">
        <v>134</v>
      </c>
      <c r="C386" s="30" t="s">
        <v>124</v>
      </c>
      <c r="D386" s="30" t="s">
        <v>132</v>
      </c>
      <c r="E386" s="30" t="s">
        <v>122</v>
      </c>
      <c r="F386" s="30" t="s">
        <v>11</v>
      </c>
      <c r="G386" s="38"/>
      <c r="H386" s="38">
        <v>16424.599999999999</v>
      </c>
      <c r="I386" s="38"/>
      <c r="J386" s="38">
        <v>41.16</v>
      </c>
      <c r="K386" s="142"/>
      <c r="L386" s="38"/>
      <c r="M386" s="38">
        <v>84.96</v>
      </c>
      <c r="N386" s="38"/>
      <c r="O386" s="38"/>
      <c r="P386" s="141"/>
      <c r="Q386" s="38"/>
      <c r="R386" s="38"/>
      <c r="S386" s="38">
        <v>13095.71</v>
      </c>
      <c r="T386" s="38" t="s">
        <v>65</v>
      </c>
      <c r="U386" s="38"/>
      <c r="V386" s="38"/>
      <c r="W386" s="38"/>
      <c r="X386" s="38"/>
    </row>
    <row r="387" spans="1:24" x14ac:dyDescent="0.35">
      <c r="A387" s="30" t="s">
        <v>130</v>
      </c>
      <c r="B387" s="30" t="s">
        <v>134</v>
      </c>
      <c r="C387" s="30" t="s">
        <v>124</v>
      </c>
      <c r="D387" s="30" t="s">
        <v>132</v>
      </c>
      <c r="E387" s="30" t="s">
        <v>122</v>
      </c>
      <c r="F387" s="30" t="s">
        <v>11</v>
      </c>
      <c r="G387" s="38"/>
      <c r="H387" s="38">
        <v>16424.599999999999</v>
      </c>
      <c r="I387" s="38"/>
      <c r="J387" s="38">
        <v>41.16</v>
      </c>
      <c r="K387" s="142"/>
      <c r="L387" s="38"/>
      <c r="M387" s="38">
        <v>84.96</v>
      </c>
      <c r="N387" s="38"/>
      <c r="O387" s="38"/>
      <c r="P387" s="141"/>
      <c r="Q387" s="38"/>
      <c r="R387" s="38"/>
      <c r="S387" s="38">
        <v>13095.71</v>
      </c>
      <c r="T387" s="38" t="s">
        <v>65</v>
      </c>
      <c r="U387" s="38"/>
      <c r="V387" s="38"/>
      <c r="W387" s="38"/>
      <c r="X387" s="38"/>
    </row>
    <row r="388" spans="1:24" x14ac:dyDescent="0.35">
      <c r="A388" s="30" t="s">
        <v>130</v>
      </c>
      <c r="B388" s="30" t="s">
        <v>134</v>
      </c>
      <c r="C388" s="30" t="s">
        <v>124</v>
      </c>
      <c r="D388" s="30" t="s">
        <v>132</v>
      </c>
      <c r="E388" s="30" t="s">
        <v>122</v>
      </c>
      <c r="F388" s="30" t="s">
        <v>11</v>
      </c>
      <c r="G388" s="38"/>
      <c r="H388" s="38">
        <v>16424.599999999999</v>
      </c>
      <c r="I388" s="38"/>
      <c r="J388" s="38">
        <v>41.16</v>
      </c>
      <c r="K388" s="142"/>
      <c r="L388" s="38"/>
      <c r="M388" s="38">
        <v>84.96</v>
      </c>
      <c r="N388" s="38"/>
      <c r="O388" s="38"/>
      <c r="P388" s="141"/>
      <c r="Q388" s="38"/>
      <c r="R388" s="38"/>
      <c r="S388" s="38">
        <v>13095.71</v>
      </c>
      <c r="T388" s="38" t="s">
        <v>65</v>
      </c>
      <c r="U388" s="38"/>
      <c r="V388" s="38"/>
      <c r="W388" s="38"/>
      <c r="X388" s="38"/>
    </row>
    <row r="389" spans="1:24" x14ac:dyDescent="0.35">
      <c r="A389" s="30" t="s">
        <v>130</v>
      </c>
      <c r="B389" s="30" t="s">
        <v>134</v>
      </c>
      <c r="C389" s="30" t="s">
        <v>124</v>
      </c>
      <c r="D389" s="30" t="s">
        <v>132</v>
      </c>
      <c r="E389" s="30" t="s">
        <v>122</v>
      </c>
      <c r="F389" s="30" t="s">
        <v>11</v>
      </c>
      <c r="G389" s="38"/>
      <c r="H389" s="38">
        <v>16424.599999999999</v>
      </c>
      <c r="I389" s="38"/>
      <c r="J389" s="38">
        <v>41.16</v>
      </c>
      <c r="K389" s="142"/>
      <c r="L389" s="38"/>
      <c r="M389" s="38">
        <v>84.96</v>
      </c>
      <c r="N389" s="38"/>
      <c r="O389" s="38"/>
      <c r="P389" s="141"/>
      <c r="Q389" s="38"/>
      <c r="R389" s="38"/>
      <c r="S389" s="38">
        <v>13095.71</v>
      </c>
      <c r="T389" s="38" t="s">
        <v>65</v>
      </c>
      <c r="U389" s="38"/>
      <c r="V389" s="38"/>
      <c r="W389" s="38"/>
      <c r="X389" s="38"/>
    </row>
    <row r="390" spans="1:24" x14ac:dyDescent="0.35">
      <c r="A390" s="30" t="s">
        <v>130</v>
      </c>
      <c r="B390" s="30" t="s">
        <v>134</v>
      </c>
      <c r="C390" s="30" t="s">
        <v>124</v>
      </c>
      <c r="D390" s="30" t="s">
        <v>132</v>
      </c>
      <c r="E390" s="30" t="s">
        <v>122</v>
      </c>
      <c r="F390" s="30" t="s">
        <v>11</v>
      </c>
      <c r="G390" s="38"/>
      <c r="H390" s="38">
        <v>16424.599999999999</v>
      </c>
      <c r="I390" s="38"/>
      <c r="J390" s="38">
        <v>41.16</v>
      </c>
      <c r="K390" s="142"/>
      <c r="L390" s="38"/>
      <c r="M390" s="38">
        <v>84.96</v>
      </c>
      <c r="N390" s="38"/>
      <c r="O390" s="38"/>
      <c r="P390" s="141"/>
      <c r="Q390" s="38"/>
      <c r="R390" s="38"/>
      <c r="S390" s="38">
        <v>13095.71</v>
      </c>
      <c r="T390" s="38" t="s">
        <v>65</v>
      </c>
      <c r="U390" s="38"/>
      <c r="V390" s="38"/>
      <c r="W390" s="38"/>
      <c r="X390" s="38"/>
    </row>
    <row r="391" spans="1:24" x14ac:dyDescent="0.35">
      <c r="A391" s="30" t="s">
        <v>130</v>
      </c>
      <c r="B391" s="30" t="s">
        <v>134</v>
      </c>
      <c r="C391" s="30" t="s">
        <v>124</v>
      </c>
      <c r="D391" s="30" t="s">
        <v>132</v>
      </c>
      <c r="E391" s="30" t="s">
        <v>122</v>
      </c>
      <c r="F391" s="30" t="s">
        <v>11</v>
      </c>
      <c r="G391" s="38"/>
      <c r="H391" s="38">
        <v>16424.599999999999</v>
      </c>
      <c r="I391" s="38"/>
      <c r="J391" s="38">
        <v>41.16</v>
      </c>
      <c r="K391" s="142"/>
      <c r="L391" s="38"/>
      <c r="M391" s="38">
        <v>84.96</v>
      </c>
      <c r="N391" s="38"/>
      <c r="O391" s="38"/>
      <c r="P391" s="141"/>
      <c r="Q391" s="38"/>
      <c r="R391" s="38"/>
      <c r="S391" s="38">
        <v>13095.71</v>
      </c>
      <c r="T391" s="38" t="s">
        <v>65</v>
      </c>
      <c r="U391" s="38"/>
      <c r="V391" s="38"/>
      <c r="W391" s="38"/>
      <c r="X391" s="38"/>
    </row>
    <row r="392" spans="1:24" x14ac:dyDescent="0.35">
      <c r="A392" s="30" t="s">
        <v>130</v>
      </c>
      <c r="B392" s="30" t="s">
        <v>134</v>
      </c>
      <c r="C392" s="30" t="s">
        <v>124</v>
      </c>
      <c r="D392" s="30" t="s">
        <v>132</v>
      </c>
      <c r="E392" s="30" t="s">
        <v>122</v>
      </c>
      <c r="F392" s="30" t="s">
        <v>11</v>
      </c>
      <c r="G392" s="38"/>
      <c r="H392" s="38">
        <v>16424.599999999999</v>
      </c>
      <c r="I392" s="38"/>
      <c r="J392" s="38">
        <v>41.16</v>
      </c>
      <c r="K392" s="142"/>
      <c r="L392" s="38"/>
      <c r="M392" s="38">
        <v>84.96</v>
      </c>
      <c r="N392" s="38"/>
      <c r="O392" s="38"/>
      <c r="P392" s="141"/>
      <c r="Q392" s="38"/>
      <c r="R392" s="38"/>
      <c r="S392" s="38">
        <v>13095.71</v>
      </c>
      <c r="T392" s="38" t="s">
        <v>65</v>
      </c>
      <c r="U392" s="38"/>
      <c r="V392" s="38"/>
      <c r="W392" s="38"/>
      <c r="X392" s="38"/>
    </row>
    <row r="393" spans="1:24" x14ac:dyDescent="0.35">
      <c r="A393" s="30" t="s">
        <v>130</v>
      </c>
      <c r="B393" s="30" t="s">
        <v>134</v>
      </c>
      <c r="C393" s="30" t="s">
        <v>124</v>
      </c>
      <c r="D393" s="30" t="s">
        <v>132</v>
      </c>
      <c r="E393" s="30" t="s">
        <v>122</v>
      </c>
      <c r="F393" s="30" t="s">
        <v>11</v>
      </c>
      <c r="G393" s="38"/>
      <c r="H393" s="38">
        <v>16424.599999999999</v>
      </c>
      <c r="I393" s="38"/>
      <c r="J393" s="38">
        <v>41.16</v>
      </c>
      <c r="K393" s="142"/>
      <c r="L393" s="38"/>
      <c r="M393" s="38">
        <v>84.96</v>
      </c>
      <c r="N393" s="38"/>
      <c r="O393" s="38"/>
      <c r="P393" s="141"/>
      <c r="Q393" s="38"/>
      <c r="R393" s="38"/>
      <c r="S393" s="38">
        <v>13095.71</v>
      </c>
      <c r="T393" s="38" t="s">
        <v>65</v>
      </c>
      <c r="U393" s="38"/>
      <c r="V393" s="38"/>
      <c r="W393" s="38"/>
      <c r="X393" s="38"/>
    </row>
    <row r="394" spans="1:24" x14ac:dyDescent="0.35">
      <c r="A394" s="30" t="s">
        <v>130</v>
      </c>
      <c r="B394" s="30" t="s">
        <v>134</v>
      </c>
      <c r="C394" s="30" t="s">
        <v>124</v>
      </c>
      <c r="D394" s="30" t="s">
        <v>132</v>
      </c>
      <c r="E394" s="30" t="s">
        <v>122</v>
      </c>
      <c r="F394" s="30" t="s">
        <v>11</v>
      </c>
      <c r="G394" s="38"/>
      <c r="H394" s="38">
        <v>16424.599999999999</v>
      </c>
      <c r="I394" s="38"/>
      <c r="J394" s="38">
        <v>41.16</v>
      </c>
      <c r="K394" s="142"/>
      <c r="L394" s="38"/>
      <c r="M394" s="38">
        <v>84.96</v>
      </c>
      <c r="N394" s="38"/>
      <c r="O394" s="38"/>
      <c r="P394" s="141"/>
      <c r="Q394" s="38"/>
      <c r="R394" s="38"/>
      <c r="S394" s="38">
        <v>13095.71</v>
      </c>
      <c r="T394" s="38" t="s">
        <v>65</v>
      </c>
      <c r="U394" s="38"/>
      <c r="V394" s="38"/>
      <c r="W394" s="38"/>
      <c r="X394" s="38"/>
    </row>
    <row r="395" spans="1:24" x14ac:dyDescent="0.35">
      <c r="A395" s="30" t="s">
        <v>130</v>
      </c>
      <c r="B395" s="30" t="s">
        <v>134</v>
      </c>
      <c r="C395" s="30" t="s">
        <v>124</v>
      </c>
      <c r="D395" s="30" t="s">
        <v>132</v>
      </c>
      <c r="E395" s="30" t="s">
        <v>122</v>
      </c>
      <c r="F395" s="30" t="s">
        <v>11</v>
      </c>
      <c r="G395" s="38"/>
      <c r="H395" s="38">
        <v>16424.599999999999</v>
      </c>
      <c r="I395" s="38"/>
      <c r="J395" s="38">
        <v>41.16</v>
      </c>
      <c r="K395" s="142"/>
      <c r="L395" s="38"/>
      <c r="M395" s="38">
        <v>84.96</v>
      </c>
      <c r="N395" s="38"/>
      <c r="O395" s="38"/>
      <c r="P395" s="141"/>
      <c r="Q395" s="38"/>
      <c r="R395" s="38"/>
      <c r="S395" s="38">
        <v>13095.71</v>
      </c>
      <c r="T395" s="38" t="s">
        <v>65</v>
      </c>
      <c r="U395" s="38"/>
      <c r="V395" s="38"/>
      <c r="W395" s="38"/>
      <c r="X395" s="38"/>
    </row>
    <row r="396" spans="1:24" x14ac:dyDescent="0.35">
      <c r="A396" s="30" t="s">
        <v>130</v>
      </c>
      <c r="B396" s="30" t="s">
        <v>134</v>
      </c>
      <c r="C396" s="30" t="s">
        <v>124</v>
      </c>
      <c r="D396" s="30" t="s">
        <v>132</v>
      </c>
      <c r="E396" s="30" t="s">
        <v>122</v>
      </c>
      <c r="F396" s="30" t="s">
        <v>11</v>
      </c>
      <c r="G396" s="38"/>
      <c r="H396" s="38">
        <v>16424.599999999999</v>
      </c>
      <c r="I396" s="38"/>
      <c r="J396" s="38">
        <v>41.16</v>
      </c>
      <c r="K396" s="142"/>
      <c r="L396" s="38"/>
      <c r="M396" s="38">
        <v>84.96</v>
      </c>
      <c r="N396" s="38"/>
      <c r="O396" s="38"/>
      <c r="P396" s="141"/>
      <c r="Q396" s="38"/>
      <c r="R396" s="38"/>
      <c r="S396" s="38">
        <v>13095.71</v>
      </c>
      <c r="T396" s="38" t="s">
        <v>65</v>
      </c>
      <c r="U396" s="38"/>
      <c r="V396" s="38"/>
      <c r="W396" s="38"/>
      <c r="X396" s="38"/>
    </row>
    <row r="397" spans="1:24" x14ac:dyDescent="0.35">
      <c r="A397" s="30" t="s">
        <v>130</v>
      </c>
      <c r="B397" s="30" t="s">
        <v>134</v>
      </c>
      <c r="C397" s="30" t="s">
        <v>124</v>
      </c>
      <c r="D397" s="30" t="s">
        <v>132</v>
      </c>
      <c r="E397" s="30" t="s">
        <v>122</v>
      </c>
      <c r="F397" s="30" t="s">
        <v>11</v>
      </c>
      <c r="G397" s="38"/>
      <c r="H397" s="38">
        <v>16424.599999999999</v>
      </c>
      <c r="I397" s="38"/>
      <c r="J397" s="38">
        <v>41.16</v>
      </c>
      <c r="K397" s="142"/>
      <c r="L397" s="38"/>
      <c r="M397" s="38">
        <v>84.96</v>
      </c>
      <c r="N397" s="38"/>
      <c r="O397" s="38"/>
      <c r="P397" s="141"/>
      <c r="Q397" s="38"/>
      <c r="R397" s="38"/>
      <c r="S397" s="38">
        <v>13095.71</v>
      </c>
      <c r="T397" s="38" t="s">
        <v>65</v>
      </c>
      <c r="U397" s="38"/>
      <c r="V397" s="38"/>
      <c r="W397" s="38"/>
      <c r="X397" s="38"/>
    </row>
    <row r="398" spans="1:24" x14ac:dyDescent="0.35">
      <c r="A398" s="30" t="s">
        <v>130</v>
      </c>
      <c r="B398" s="30" t="s">
        <v>134</v>
      </c>
      <c r="C398" s="30" t="s">
        <v>124</v>
      </c>
      <c r="D398" s="30" t="s">
        <v>132</v>
      </c>
      <c r="E398" s="30" t="s">
        <v>122</v>
      </c>
      <c r="F398" s="30" t="s">
        <v>11</v>
      </c>
      <c r="G398" s="38"/>
      <c r="H398" s="38">
        <v>16424.599999999999</v>
      </c>
      <c r="I398" s="38"/>
      <c r="J398" s="38">
        <v>41.16</v>
      </c>
      <c r="K398" s="142"/>
      <c r="L398" s="38"/>
      <c r="M398" s="38">
        <v>84.96</v>
      </c>
      <c r="N398" s="38"/>
      <c r="O398" s="38"/>
      <c r="P398" s="141"/>
      <c r="Q398" s="38"/>
      <c r="R398" s="38"/>
      <c r="S398" s="38">
        <v>13095.71</v>
      </c>
      <c r="T398" s="38" t="s">
        <v>65</v>
      </c>
      <c r="U398" s="38"/>
      <c r="V398" s="38"/>
      <c r="W398" s="38"/>
      <c r="X398" s="38"/>
    </row>
    <row r="399" spans="1:24" x14ac:dyDescent="0.35">
      <c r="A399" s="30" t="s">
        <v>130</v>
      </c>
      <c r="B399" s="30" t="s">
        <v>134</v>
      </c>
      <c r="C399" s="30" t="s">
        <v>124</v>
      </c>
      <c r="D399" s="30" t="s">
        <v>132</v>
      </c>
      <c r="E399" s="30" t="s">
        <v>122</v>
      </c>
      <c r="F399" s="30" t="s">
        <v>11</v>
      </c>
      <c r="G399" s="38"/>
      <c r="H399" s="38">
        <v>16424.599999999999</v>
      </c>
      <c r="I399" s="38"/>
      <c r="J399" s="38">
        <v>41.16</v>
      </c>
      <c r="K399" s="142"/>
      <c r="L399" s="38"/>
      <c r="M399" s="38">
        <v>84.96</v>
      </c>
      <c r="N399" s="38"/>
      <c r="O399" s="38"/>
      <c r="P399" s="141"/>
      <c r="Q399" s="38"/>
      <c r="R399" s="38"/>
      <c r="S399" s="38">
        <v>13095.71</v>
      </c>
      <c r="T399" s="38" t="s">
        <v>65</v>
      </c>
      <c r="U399" s="38"/>
      <c r="V399" s="38"/>
      <c r="W399" s="38"/>
      <c r="X399" s="38"/>
    </row>
    <row r="400" spans="1:24" x14ac:dyDescent="0.35">
      <c r="A400" s="30" t="s">
        <v>130</v>
      </c>
      <c r="B400" s="30" t="s">
        <v>134</v>
      </c>
      <c r="D400" s="30" t="s">
        <v>132</v>
      </c>
      <c r="E400" s="30" t="s">
        <v>122</v>
      </c>
      <c r="F400" s="30" t="s">
        <v>11</v>
      </c>
      <c r="G400" s="38"/>
      <c r="H400" s="38">
        <v>11850</v>
      </c>
      <c r="I400" s="38"/>
      <c r="J400" s="38">
        <v>48</v>
      </c>
      <c r="K400" s="142"/>
      <c r="L400" s="38"/>
      <c r="M400" s="38">
        <v>80</v>
      </c>
      <c r="N400" s="38"/>
      <c r="O400" s="38"/>
      <c r="P400" s="141"/>
      <c r="Q400" s="38"/>
      <c r="R400" s="38"/>
      <c r="S400" s="38">
        <v>9800</v>
      </c>
      <c r="T400" s="38" t="s">
        <v>65</v>
      </c>
      <c r="U400" s="38"/>
      <c r="V400" s="38"/>
      <c r="W400" s="38"/>
      <c r="X400" s="38"/>
    </row>
    <row r="401" spans="1:25" x14ac:dyDescent="0.35">
      <c r="A401" s="30" t="s">
        <v>130</v>
      </c>
      <c r="B401" s="30" t="s">
        <v>134</v>
      </c>
      <c r="D401" s="30" t="s">
        <v>132</v>
      </c>
      <c r="E401" s="30" t="s">
        <v>122</v>
      </c>
      <c r="F401" s="30" t="s">
        <v>11</v>
      </c>
      <c r="G401" s="38"/>
      <c r="H401" s="38">
        <v>11097</v>
      </c>
      <c r="I401" s="38"/>
      <c r="J401" s="38">
        <v>48</v>
      </c>
      <c r="K401" s="142"/>
      <c r="L401" s="38"/>
      <c r="M401" s="38">
        <v>90</v>
      </c>
      <c r="N401" s="38"/>
      <c r="O401" s="38"/>
      <c r="P401" s="141"/>
      <c r="Q401" s="38"/>
      <c r="R401" s="38"/>
      <c r="S401" s="38">
        <v>10150</v>
      </c>
      <c r="T401" s="38" t="s">
        <v>65</v>
      </c>
      <c r="U401" s="38"/>
      <c r="V401" s="38"/>
      <c r="W401" s="38"/>
      <c r="X401" s="38"/>
    </row>
    <row r="402" spans="1:25" x14ac:dyDescent="0.35">
      <c r="A402" s="30" t="s">
        <v>130</v>
      </c>
      <c r="B402" s="30" t="s">
        <v>135</v>
      </c>
      <c r="C402" s="30">
        <v>2257186</v>
      </c>
      <c r="D402" s="30" t="s">
        <v>136</v>
      </c>
      <c r="E402" s="30" t="s">
        <v>122</v>
      </c>
      <c r="F402" s="30" t="s">
        <v>11</v>
      </c>
      <c r="G402" s="38"/>
      <c r="H402" s="38"/>
      <c r="I402" s="38"/>
      <c r="J402" s="38"/>
      <c r="K402" s="142"/>
      <c r="L402" s="38"/>
      <c r="M402" s="38"/>
      <c r="N402" s="38"/>
      <c r="O402" s="38"/>
      <c r="P402" s="141"/>
      <c r="Q402" s="38"/>
      <c r="R402" s="38"/>
      <c r="S402" s="38"/>
      <c r="T402" s="38"/>
      <c r="U402" s="38">
        <v>21364</v>
      </c>
      <c r="V402" s="38">
        <v>48</v>
      </c>
      <c r="W402" s="38">
        <v>142</v>
      </c>
      <c r="X402" s="38"/>
      <c r="Y402" s="30" t="s">
        <v>66</v>
      </c>
    </row>
    <row r="403" spans="1:25" x14ac:dyDescent="0.35">
      <c r="A403" s="30" t="s">
        <v>130</v>
      </c>
      <c r="B403" s="30" t="s">
        <v>135</v>
      </c>
      <c r="C403" s="30">
        <v>2355329</v>
      </c>
      <c r="D403" s="30" t="s">
        <v>136</v>
      </c>
      <c r="E403" s="30" t="s">
        <v>122</v>
      </c>
      <c r="F403" s="30" t="s">
        <v>11</v>
      </c>
      <c r="G403" s="38"/>
      <c r="H403" s="38"/>
      <c r="I403" s="38"/>
      <c r="J403" s="38"/>
      <c r="K403" s="142"/>
      <c r="L403" s="38"/>
      <c r="M403" s="38"/>
      <c r="N403" s="38"/>
      <c r="O403" s="38"/>
      <c r="P403" s="141"/>
      <c r="Q403" s="38"/>
      <c r="R403" s="38"/>
      <c r="S403" s="38"/>
      <c r="T403" s="38"/>
      <c r="U403" s="38">
        <v>14413</v>
      </c>
      <c r="V403" s="38">
        <v>61</v>
      </c>
      <c r="W403" s="38">
        <v>152.76</v>
      </c>
      <c r="X403" s="38"/>
      <c r="Y403" s="30" t="s">
        <v>66</v>
      </c>
    </row>
    <row r="404" spans="1:25" x14ac:dyDescent="0.35">
      <c r="A404" s="30" t="s">
        <v>130</v>
      </c>
      <c r="B404" s="30" t="s">
        <v>135</v>
      </c>
      <c r="C404" s="30">
        <v>2272038</v>
      </c>
      <c r="D404" s="30" t="s">
        <v>136</v>
      </c>
      <c r="E404" s="30" t="s">
        <v>122</v>
      </c>
      <c r="F404" s="30" t="s">
        <v>11</v>
      </c>
      <c r="G404" s="38"/>
      <c r="H404" s="38"/>
      <c r="I404" s="38"/>
      <c r="J404" s="38"/>
      <c r="K404" s="142"/>
      <c r="L404" s="38"/>
      <c r="M404" s="38"/>
      <c r="N404" s="38"/>
      <c r="O404" s="38"/>
      <c r="P404" s="141"/>
      <c r="Q404" s="38"/>
      <c r="R404" s="38"/>
      <c r="S404" s="38"/>
      <c r="T404" s="38"/>
      <c r="U404" s="38">
        <v>21980</v>
      </c>
      <c r="V404" s="38">
        <v>49</v>
      </c>
      <c r="W404" s="38">
        <v>131.1</v>
      </c>
      <c r="X404" s="38"/>
      <c r="Y404" s="30" t="s">
        <v>66</v>
      </c>
    </row>
    <row r="405" spans="1:25" x14ac:dyDescent="0.35">
      <c r="A405" s="30" t="s">
        <v>130</v>
      </c>
      <c r="B405" s="30" t="s">
        <v>135</v>
      </c>
      <c r="C405" s="30">
        <v>2280943</v>
      </c>
      <c r="D405" s="30" t="s">
        <v>136</v>
      </c>
      <c r="E405" s="30" t="s">
        <v>122</v>
      </c>
      <c r="F405" s="30" t="s">
        <v>11</v>
      </c>
      <c r="G405" s="38"/>
      <c r="H405" s="38"/>
      <c r="I405" s="38"/>
      <c r="J405" s="38"/>
      <c r="K405" s="142"/>
      <c r="L405" s="38"/>
      <c r="M405" s="38"/>
      <c r="N405" s="38"/>
      <c r="O405" s="38"/>
      <c r="P405" s="141"/>
      <c r="Q405" s="38"/>
      <c r="R405" s="38"/>
      <c r="S405" s="38"/>
      <c r="T405" s="38"/>
      <c r="U405" s="38">
        <v>16650</v>
      </c>
      <c r="V405" s="38">
        <v>53</v>
      </c>
      <c r="W405" s="38">
        <v>136.4</v>
      </c>
      <c r="X405" s="38">
        <v>50626</v>
      </c>
      <c r="Y405" s="30" t="s">
        <v>66</v>
      </c>
    </row>
    <row r="406" spans="1:25" x14ac:dyDescent="0.35">
      <c r="A406" s="30" t="s">
        <v>130</v>
      </c>
      <c r="B406" s="30" t="s">
        <v>135</v>
      </c>
      <c r="D406" s="30" t="s">
        <v>136</v>
      </c>
      <c r="E406" s="30" t="s">
        <v>122</v>
      </c>
      <c r="F406" s="30" t="s">
        <v>11</v>
      </c>
      <c r="G406" s="38"/>
      <c r="H406" s="38"/>
      <c r="I406" s="38"/>
      <c r="J406" s="38"/>
      <c r="K406" s="142"/>
      <c r="L406" s="38"/>
      <c r="M406" s="38"/>
      <c r="N406" s="38"/>
      <c r="O406" s="38"/>
      <c r="P406" s="141"/>
      <c r="Q406" s="38"/>
      <c r="R406" s="38"/>
      <c r="S406" s="38"/>
      <c r="T406" s="38"/>
      <c r="U406" s="38">
        <v>22494.36</v>
      </c>
      <c r="V406" s="38">
        <v>49</v>
      </c>
      <c r="W406" s="38">
        <v>144</v>
      </c>
      <c r="X406" s="38">
        <v>47900</v>
      </c>
      <c r="Y406" s="30" t="s">
        <v>66</v>
      </c>
    </row>
    <row r="407" spans="1:25" x14ac:dyDescent="0.35">
      <c r="A407" s="30" t="s">
        <v>130</v>
      </c>
      <c r="B407" s="30" t="s">
        <v>135</v>
      </c>
      <c r="D407" s="30" t="s">
        <v>136</v>
      </c>
      <c r="E407" s="30" t="s">
        <v>122</v>
      </c>
      <c r="F407" s="30" t="s">
        <v>11</v>
      </c>
      <c r="G407" s="38"/>
      <c r="H407" s="38"/>
      <c r="I407" s="38"/>
      <c r="J407" s="38"/>
      <c r="K407" s="142"/>
      <c r="L407" s="38"/>
      <c r="M407" s="38"/>
      <c r="N407" s="38"/>
      <c r="O407" s="38"/>
      <c r="P407" s="141"/>
      <c r="Q407" s="38"/>
      <c r="R407" s="38"/>
      <c r="S407" s="38"/>
      <c r="T407" s="38"/>
      <c r="U407" s="38">
        <v>21477.15</v>
      </c>
      <c r="V407" s="38">
        <v>53</v>
      </c>
      <c r="W407" s="38">
        <v>138</v>
      </c>
      <c r="X407" s="38">
        <v>31100</v>
      </c>
      <c r="Y407" s="30" t="s">
        <v>66</v>
      </c>
    </row>
    <row r="408" spans="1:25" x14ac:dyDescent="0.35">
      <c r="A408" s="30" t="s">
        <v>130</v>
      </c>
      <c r="B408" s="30" t="s">
        <v>135</v>
      </c>
      <c r="D408" s="30" t="s">
        <v>136</v>
      </c>
      <c r="E408" s="30" t="s">
        <v>122</v>
      </c>
      <c r="F408" s="30" t="s">
        <v>11</v>
      </c>
      <c r="G408" s="38"/>
      <c r="H408" s="38"/>
      <c r="I408" s="38"/>
      <c r="J408" s="38"/>
      <c r="K408" s="142"/>
      <c r="L408" s="38"/>
      <c r="M408" s="38"/>
      <c r="N408" s="38"/>
      <c r="O408" s="38"/>
      <c r="P408" s="141"/>
      <c r="Q408" s="38"/>
      <c r="R408" s="38"/>
      <c r="S408" s="38"/>
      <c r="T408" s="38"/>
      <c r="U408" s="38">
        <v>20028.87</v>
      </c>
      <c r="V408" s="38">
        <v>53</v>
      </c>
      <c r="W408" s="38">
        <v>136</v>
      </c>
      <c r="X408" s="38">
        <v>40710</v>
      </c>
      <c r="Y408" s="30" t="s">
        <v>66</v>
      </c>
    </row>
    <row r="409" spans="1:25" x14ac:dyDescent="0.35">
      <c r="A409" s="30" t="s">
        <v>130</v>
      </c>
      <c r="B409" s="30" t="s">
        <v>135</v>
      </c>
      <c r="D409" s="30" t="s">
        <v>136</v>
      </c>
      <c r="E409" s="30" t="s">
        <v>122</v>
      </c>
      <c r="F409" s="30" t="s">
        <v>11</v>
      </c>
      <c r="G409" s="38"/>
      <c r="H409" s="38"/>
      <c r="I409" s="38"/>
      <c r="J409" s="38"/>
      <c r="K409" s="142"/>
      <c r="L409" s="38"/>
      <c r="M409" s="38"/>
      <c r="N409" s="38"/>
      <c r="O409" s="38"/>
      <c r="P409" s="141"/>
      <c r="Q409" s="38"/>
      <c r="R409" s="38"/>
      <c r="S409" s="38"/>
      <c r="T409" s="38"/>
      <c r="U409" s="38">
        <v>24505.62</v>
      </c>
      <c r="V409" s="38">
        <v>49</v>
      </c>
      <c r="W409" s="38">
        <v>131</v>
      </c>
      <c r="X409" s="38"/>
      <c r="Y409" s="30" t="s">
        <v>66</v>
      </c>
    </row>
    <row r="410" spans="1:25" x14ac:dyDescent="0.35">
      <c r="A410" s="30" t="s">
        <v>130</v>
      </c>
      <c r="B410" s="30" t="s">
        <v>135</v>
      </c>
      <c r="D410" s="30" t="s">
        <v>136</v>
      </c>
      <c r="E410" s="30" t="s">
        <v>122</v>
      </c>
      <c r="F410" s="30" t="s">
        <v>11</v>
      </c>
      <c r="G410" s="38"/>
      <c r="H410" s="38"/>
      <c r="I410" s="38"/>
      <c r="J410" s="38"/>
      <c r="K410" s="142"/>
      <c r="L410" s="38"/>
      <c r="M410" s="38"/>
      <c r="N410" s="38"/>
      <c r="O410" s="38"/>
      <c r="P410" s="141"/>
      <c r="Q410" s="38"/>
      <c r="R410" s="38"/>
      <c r="S410" s="38"/>
      <c r="T410" s="38"/>
      <c r="U410" s="38">
        <v>23207.02</v>
      </c>
      <c r="V410" s="38">
        <v>48</v>
      </c>
      <c r="W410" s="38">
        <v>142</v>
      </c>
      <c r="X410" s="38">
        <v>42274</v>
      </c>
      <c r="Y410" s="30" t="s">
        <v>66</v>
      </c>
    </row>
    <row r="411" spans="1:25" x14ac:dyDescent="0.35">
      <c r="A411" s="30" t="s">
        <v>130</v>
      </c>
      <c r="B411" s="30" t="s">
        <v>135</v>
      </c>
      <c r="D411" s="30" t="s">
        <v>136</v>
      </c>
      <c r="E411" s="30" t="s">
        <v>122</v>
      </c>
      <c r="F411" s="30" t="s">
        <v>11</v>
      </c>
      <c r="G411" s="38"/>
      <c r="H411" s="38"/>
      <c r="I411" s="38"/>
      <c r="J411" s="38"/>
      <c r="K411" s="142"/>
      <c r="L411" s="38"/>
      <c r="M411" s="38"/>
      <c r="N411" s="38"/>
      <c r="O411" s="38"/>
      <c r="P411" s="141"/>
      <c r="Q411" s="38"/>
      <c r="R411" s="38"/>
      <c r="S411" s="38"/>
      <c r="T411" s="38"/>
      <c r="U411" s="38">
        <v>19543.89</v>
      </c>
      <c r="V411" s="38">
        <v>45</v>
      </c>
      <c r="W411" s="38">
        <v>138</v>
      </c>
      <c r="X411" s="38"/>
      <c r="Y411" s="30" t="s">
        <v>65</v>
      </c>
    </row>
    <row r="412" spans="1:25" x14ac:dyDescent="0.35">
      <c r="A412" s="30" t="s">
        <v>130</v>
      </c>
      <c r="B412" s="30" t="s">
        <v>135</v>
      </c>
      <c r="D412" s="30" t="s">
        <v>136</v>
      </c>
      <c r="E412" s="30" t="s">
        <v>122</v>
      </c>
      <c r="F412" s="30" t="s">
        <v>11</v>
      </c>
      <c r="G412" s="38"/>
      <c r="H412" s="38"/>
      <c r="I412" s="38"/>
      <c r="J412" s="38"/>
      <c r="K412" s="142"/>
      <c r="L412" s="38"/>
      <c r="M412" s="38"/>
      <c r="N412" s="38"/>
      <c r="O412" s="38"/>
      <c r="P412" s="141"/>
      <c r="Q412" s="38"/>
      <c r="R412" s="38"/>
      <c r="S412" s="38"/>
      <c r="T412" s="38"/>
      <c r="U412" s="38">
        <v>32507.51</v>
      </c>
      <c r="V412" s="38">
        <v>43</v>
      </c>
      <c r="W412" s="38">
        <v>134</v>
      </c>
      <c r="X412" s="38"/>
      <c r="Y412" s="30" t="s">
        <v>65</v>
      </c>
    </row>
    <row r="413" spans="1:25" x14ac:dyDescent="0.35">
      <c r="A413" s="30" t="s">
        <v>130</v>
      </c>
      <c r="B413" s="30" t="s">
        <v>135</v>
      </c>
      <c r="D413" s="30" t="s">
        <v>136</v>
      </c>
      <c r="E413" s="30" t="s">
        <v>122</v>
      </c>
      <c r="F413" s="30" t="s">
        <v>11</v>
      </c>
      <c r="G413" s="38"/>
      <c r="H413" s="38"/>
      <c r="I413" s="38"/>
      <c r="J413" s="38"/>
      <c r="K413" s="142"/>
      <c r="L413" s="38"/>
      <c r="M413" s="38"/>
      <c r="N413" s="38"/>
      <c r="O413" s="38"/>
      <c r="P413" s="141"/>
      <c r="Q413" s="38"/>
      <c r="R413" s="38"/>
      <c r="S413" s="38"/>
      <c r="T413" s="38"/>
      <c r="U413" s="38">
        <v>30119.75</v>
      </c>
      <c r="V413" s="38">
        <v>42</v>
      </c>
      <c r="W413" s="38">
        <v>142</v>
      </c>
      <c r="X413" s="38"/>
      <c r="Y413" s="30" t="s">
        <v>65</v>
      </c>
    </row>
    <row r="414" spans="1:25" x14ac:dyDescent="0.35">
      <c r="A414" s="30" t="s">
        <v>130</v>
      </c>
      <c r="B414" s="30" t="s">
        <v>135</v>
      </c>
      <c r="D414" s="30" t="s">
        <v>136</v>
      </c>
      <c r="E414" s="30" t="s">
        <v>122</v>
      </c>
      <c r="F414" s="30" t="s">
        <v>11</v>
      </c>
      <c r="G414" s="38"/>
      <c r="H414" s="38"/>
      <c r="I414" s="38"/>
      <c r="J414" s="38"/>
      <c r="K414" s="142"/>
      <c r="L414" s="38"/>
      <c r="M414" s="38"/>
      <c r="N414" s="38"/>
      <c r="O414" s="38"/>
      <c r="P414" s="141"/>
      <c r="Q414" s="38"/>
      <c r="R414" s="38"/>
      <c r="S414" s="38"/>
      <c r="T414" s="38"/>
      <c r="U414" s="38">
        <v>29056.09</v>
      </c>
      <c r="V414" s="38">
        <v>46</v>
      </c>
      <c r="W414" s="38">
        <v>162</v>
      </c>
      <c r="X414" s="38"/>
      <c r="Y414" s="30" t="s">
        <v>65</v>
      </c>
    </row>
    <row r="415" spans="1:25" x14ac:dyDescent="0.35">
      <c r="A415" s="30" t="s">
        <v>130</v>
      </c>
      <c r="B415" s="30" t="s">
        <v>135</v>
      </c>
      <c r="C415" s="30" t="s">
        <v>124</v>
      </c>
      <c r="D415" s="30" t="s">
        <v>136</v>
      </c>
      <c r="E415" s="30" t="s">
        <v>122</v>
      </c>
      <c r="F415" s="30" t="s">
        <v>11</v>
      </c>
      <c r="G415" s="38"/>
      <c r="H415" s="38"/>
      <c r="I415" s="38"/>
      <c r="J415" s="38"/>
      <c r="K415" s="142"/>
      <c r="L415" s="38"/>
      <c r="M415" s="38"/>
      <c r="N415" s="38"/>
      <c r="O415" s="38"/>
      <c r="P415" s="141"/>
      <c r="Q415" s="38"/>
      <c r="R415" s="38"/>
      <c r="S415" s="38"/>
      <c r="T415" s="38"/>
      <c r="U415" s="38">
        <v>25745</v>
      </c>
      <c r="V415" s="38">
        <v>45</v>
      </c>
      <c r="W415" s="38">
        <v>145</v>
      </c>
      <c r="X415" s="38"/>
      <c r="Y415" s="30" t="s">
        <v>65</v>
      </c>
    </row>
    <row r="416" spans="1:25" x14ac:dyDescent="0.35">
      <c r="A416" s="30" t="s">
        <v>130</v>
      </c>
      <c r="B416" s="30" t="s">
        <v>135</v>
      </c>
      <c r="C416" s="30" t="s">
        <v>124</v>
      </c>
      <c r="D416" s="30" t="s">
        <v>136</v>
      </c>
      <c r="E416" s="30" t="s">
        <v>122</v>
      </c>
      <c r="F416" s="30" t="s">
        <v>11</v>
      </c>
      <c r="G416" s="38"/>
      <c r="H416" s="38"/>
      <c r="I416" s="38"/>
      <c r="J416" s="38"/>
      <c r="K416" s="142"/>
      <c r="L416" s="38"/>
      <c r="M416" s="38"/>
      <c r="N416" s="38"/>
      <c r="O416" s="38"/>
      <c r="P416" s="141"/>
      <c r="Q416" s="38"/>
      <c r="R416" s="38"/>
      <c r="S416" s="38"/>
      <c r="T416" s="38"/>
      <c r="U416" s="38">
        <v>25745</v>
      </c>
      <c r="V416" s="38">
        <v>45</v>
      </c>
      <c r="W416" s="38">
        <v>145</v>
      </c>
      <c r="X416" s="38"/>
      <c r="Y416" s="30" t="s">
        <v>65</v>
      </c>
    </row>
    <row r="417" spans="1:25" ht="14.5" customHeight="1" x14ac:dyDescent="0.35">
      <c r="A417" s="30" t="s">
        <v>130</v>
      </c>
      <c r="B417" s="30" t="s">
        <v>137</v>
      </c>
      <c r="C417" s="30">
        <v>2257187</v>
      </c>
      <c r="D417" s="30" t="s">
        <v>136</v>
      </c>
      <c r="E417" s="30" t="s">
        <v>122</v>
      </c>
      <c r="F417" s="30" t="s">
        <v>11</v>
      </c>
      <c r="G417" s="38"/>
      <c r="H417" s="38"/>
      <c r="I417" s="38"/>
      <c r="J417" s="38"/>
      <c r="K417" s="142"/>
      <c r="L417" s="38"/>
      <c r="M417" s="38"/>
      <c r="N417" s="38"/>
      <c r="O417" s="38"/>
      <c r="P417" s="141"/>
      <c r="Q417" s="38"/>
      <c r="R417" s="38"/>
      <c r="S417" s="38"/>
      <c r="T417" s="38"/>
      <c r="U417" s="38">
        <v>26016</v>
      </c>
      <c r="V417" s="38">
        <v>55</v>
      </c>
      <c r="W417" s="38">
        <v>277</v>
      </c>
      <c r="X417" s="38">
        <v>71387</v>
      </c>
      <c r="Y417" s="30" t="s">
        <v>66</v>
      </c>
    </row>
    <row r="418" spans="1:25" ht="14.5" customHeight="1" x14ac:dyDescent="0.35">
      <c r="A418" s="30" t="s">
        <v>130</v>
      </c>
      <c r="B418" s="30" t="s">
        <v>137</v>
      </c>
      <c r="C418" s="30">
        <v>2304971</v>
      </c>
      <c r="D418" s="30" t="s">
        <v>136</v>
      </c>
      <c r="E418" s="30" t="s">
        <v>122</v>
      </c>
      <c r="F418" s="30" t="s">
        <v>11</v>
      </c>
      <c r="G418" s="38"/>
      <c r="H418" s="38"/>
      <c r="I418" s="38"/>
      <c r="J418" s="38"/>
      <c r="K418" s="142"/>
      <c r="L418" s="38"/>
      <c r="M418" s="38"/>
      <c r="N418" s="38"/>
      <c r="O418" s="38"/>
      <c r="P418" s="141"/>
      <c r="Q418" s="38"/>
      <c r="R418" s="38"/>
      <c r="S418" s="38"/>
      <c r="T418" s="38"/>
      <c r="U418" s="38">
        <v>18357</v>
      </c>
      <c r="V418" s="38">
        <v>66</v>
      </c>
      <c r="W418" s="38">
        <v>290.2</v>
      </c>
      <c r="X418" s="38">
        <v>37838</v>
      </c>
      <c r="Y418" s="30" t="s">
        <v>66</v>
      </c>
    </row>
    <row r="419" spans="1:25" ht="14.5" customHeight="1" x14ac:dyDescent="0.35">
      <c r="A419" s="30" t="s">
        <v>130</v>
      </c>
      <c r="B419" s="30" t="s">
        <v>137</v>
      </c>
      <c r="C419" s="30">
        <v>2280926</v>
      </c>
      <c r="D419" s="30" t="s">
        <v>136</v>
      </c>
      <c r="E419" s="30" t="s">
        <v>122</v>
      </c>
      <c r="F419" s="30" t="s">
        <v>11</v>
      </c>
      <c r="G419" s="38"/>
      <c r="H419" s="38"/>
      <c r="I419" s="38"/>
      <c r="J419" s="38"/>
      <c r="K419" s="142"/>
      <c r="L419" s="38"/>
      <c r="M419" s="38"/>
      <c r="N419" s="38"/>
      <c r="O419" s="38"/>
      <c r="P419" s="141"/>
      <c r="Q419" s="38"/>
      <c r="R419" s="38"/>
      <c r="S419" s="38"/>
      <c r="T419" s="38"/>
      <c r="U419" s="38">
        <v>19942</v>
      </c>
      <c r="V419" s="38">
        <v>59</v>
      </c>
      <c r="W419" s="38">
        <v>294.7</v>
      </c>
      <c r="X419" s="38">
        <v>83734</v>
      </c>
      <c r="Y419" s="30" t="s">
        <v>66</v>
      </c>
    </row>
    <row r="420" spans="1:25" ht="14.5" customHeight="1" x14ac:dyDescent="0.35">
      <c r="A420" s="30" t="s">
        <v>130</v>
      </c>
      <c r="B420" s="30" t="s">
        <v>137</v>
      </c>
      <c r="D420" s="30" t="s">
        <v>136</v>
      </c>
      <c r="E420" s="30" t="s">
        <v>122</v>
      </c>
      <c r="F420" s="30" t="s">
        <v>11</v>
      </c>
      <c r="G420" s="38"/>
      <c r="H420" s="38"/>
      <c r="I420" s="38"/>
      <c r="J420" s="38"/>
      <c r="K420" s="142"/>
      <c r="L420" s="38"/>
      <c r="M420" s="38"/>
      <c r="N420" s="38"/>
      <c r="O420" s="38"/>
      <c r="P420" s="141"/>
      <c r="Q420" s="38"/>
      <c r="R420" s="38"/>
      <c r="S420" s="38"/>
      <c r="T420" s="38"/>
      <c r="U420" s="38">
        <v>25161</v>
      </c>
      <c r="V420" s="38">
        <v>55</v>
      </c>
      <c r="W420" s="38">
        <v>293</v>
      </c>
      <c r="X420" s="38">
        <v>58807</v>
      </c>
      <c r="Y420" s="30" t="s">
        <v>66</v>
      </c>
    </row>
    <row r="421" spans="1:25" ht="14.5" customHeight="1" x14ac:dyDescent="0.35">
      <c r="A421" s="30" t="s">
        <v>130</v>
      </c>
      <c r="B421" s="30" t="s">
        <v>137</v>
      </c>
      <c r="C421" s="30">
        <v>2261068</v>
      </c>
      <c r="D421" s="30" t="s">
        <v>136</v>
      </c>
      <c r="E421" s="30" t="s">
        <v>122</v>
      </c>
      <c r="F421" s="30" t="s">
        <v>11</v>
      </c>
      <c r="G421" s="38"/>
      <c r="H421" s="38"/>
      <c r="I421" s="38"/>
      <c r="J421" s="38"/>
      <c r="K421" s="142"/>
      <c r="L421" s="38"/>
      <c r="M421" s="38"/>
      <c r="N421" s="38"/>
      <c r="O421" s="38"/>
      <c r="P421" s="141"/>
      <c r="Q421" s="38"/>
      <c r="R421" s="38"/>
      <c r="S421" s="38"/>
      <c r="T421" s="38"/>
      <c r="U421" s="38">
        <v>28292</v>
      </c>
      <c r="V421" s="38">
        <v>52</v>
      </c>
      <c r="W421" s="38">
        <v>280</v>
      </c>
      <c r="X421" s="38">
        <v>84134</v>
      </c>
      <c r="Y421" s="30" t="s">
        <v>66</v>
      </c>
    </row>
    <row r="422" spans="1:25" ht="14.5" customHeight="1" x14ac:dyDescent="0.35">
      <c r="A422" s="30" t="s">
        <v>130</v>
      </c>
      <c r="B422" s="30" t="s">
        <v>137</v>
      </c>
      <c r="C422" s="30">
        <v>2358443</v>
      </c>
      <c r="D422" s="30" t="s">
        <v>136</v>
      </c>
      <c r="E422" s="30" t="s">
        <v>122</v>
      </c>
      <c r="F422" s="30" t="s">
        <v>11</v>
      </c>
      <c r="G422" s="38"/>
      <c r="H422" s="38"/>
      <c r="I422" s="38"/>
      <c r="J422" s="38"/>
      <c r="K422" s="142"/>
      <c r="L422" s="38"/>
      <c r="M422" s="38"/>
      <c r="N422" s="38"/>
      <c r="O422" s="38"/>
      <c r="P422" s="141"/>
      <c r="Q422" s="38"/>
      <c r="R422" s="38"/>
      <c r="S422" s="38"/>
      <c r="T422" s="38"/>
      <c r="U422" s="38">
        <v>19300</v>
      </c>
      <c r="V422" s="38">
        <v>62</v>
      </c>
      <c r="W422" s="38">
        <v>272.8</v>
      </c>
      <c r="X422" s="38">
        <v>70950</v>
      </c>
      <c r="Y422" s="30" t="s">
        <v>66</v>
      </c>
    </row>
    <row r="423" spans="1:25" ht="14.5" customHeight="1" x14ac:dyDescent="0.35">
      <c r="A423" s="30" t="s">
        <v>130</v>
      </c>
      <c r="B423" s="30" t="s">
        <v>137</v>
      </c>
      <c r="D423" s="30" t="s">
        <v>136</v>
      </c>
      <c r="E423" s="30" t="s">
        <v>122</v>
      </c>
      <c r="F423" s="30" t="s">
        <v>11</v>
      </c>
      <c r="G423" s="38"/>
      <c r="H423" s="38"/>
      <c r="I423" s="38"/>
      <c r="J423" s="38"/>
      <c r="K423" s="142"/>
      <c r="L423" s="38"/>
      <c r="M423" s="38"/>
      <c r="N423" s="38"/>
      <c r="O423" s="38"/>
      <c r="P423" s="141"/>
      <c r="Q423" s="38"/>
      <c r="R423" s="38"/>
      <c r="S423" s="38"/>
      <c r="T423" s="38"/>
      <c r="U423" s="38">
        <v>17369</v>
      </c>
      <c r="V423" s="38">
        <v>71</v>
      </c>
      <c r="W423" s="38">
        <v>304.7</v>
      </c>
      <c r="X423" s="38"/>
      <c r="Y423" s="30" t="s">
        <v>66</v>
      </c>
    </row>
    <row r="424" spans="1:25" ht="14.5" customHeight="1" x14ac:dyDescent="0.35">
      <c r="A424" s="30" t="s">
        <v>130</v>
      </c>
      <c r="B424" s="30" t="s">
        <v>137</v>
      </c>
      <c r="D424" s="30" t="s">
        <v>136</v>
      </c>
      <c r="E424" s="30" t="s">
        <v>122</v>
      </c>
      <c r="F424" s="30" t="s">
        <v>11</v>
      </c>
      <c r="G424" s="38"/>
      <c r="H424" s="38"/>
      <c r="I424" s="38"/>
      <c r="J424" s="38"/>
      <c r="K424" s="142"/>
      <c r="L424" s="38"/>
      <c r="M424" s="38"/>
      <c r="N424" s="38"/>
      <c r="O424" s="38"/>
      <c r="P424" s="141"/>
      <c r="Q424" s="38"/>
      <c r="R424" s="38"/>
      <c r="S424" s="38"/>
      <c r="T424" s="38"/>
      <c r="U424" s="38">
        <v>23485</v>
      </c>
      <c r="V424" s="38">
        <v>54</v>
      </c>
      <c r="W424" s="38">
        <v>273</v>
      </c>
      <c r="X424" s="38">
        <v>72510</v>
      </c>
      <c r="Y424" s="30" t="s">
        <v>66</v>
      </c>
    </row>
    <row r="425" spans="1:25" ht="14.5" customHeight="1" x14ac:dyDescent="0.35">
      <c r="A425" s="30" t="s">
        <v>130</v>
      </c>
      <c r="B425" s="30" t="s">
        <v>137</v>
      </c>
      <c r="D425" s="30" t="s">
        <v>136</v>
      </c>
      <c r="E425" s="30" t="s">
        <v>122</v>
      </c>
      <c r="F425" s="30" t="s">
        <v>11</v>
      </c>
      <c r="G425" s="38"/>
      <c r="H425" s="38"/>
      <c r="I425" s="38"/>
      <c r="J425" s="38"/>
      <c r="K425" s="142"/>
      <c r="L425" s="38"/>
      <c r="M425" s="38"/>
      <c r="N425" s="38"/>
      <c r="O425" s="38"/>
      <c r="P425" s="141"/>
      <c r="Q425" s="38"/>
      <c r="R425" s="38"/>
      <c r="S425" s="38"/>
      <c r="T425" s="38"/>
      <c r="U425" s="38">
        <v>21890</v>
      </c>
      <c r="V425" s="38">
        <v>52</v>
      </c>
      <c r="W425" s="38">
        <v>284</v>
      </c>
      <c r="X425" s="38">
        <v>62775</v>
      </c>
      <c r="Y425" s="30" t="s">
        <v>66</v>
      </c>
    </row>
    <row r="426" spans="1:25" ht="14.5" customHeight="1" x14ac:dyDescent="0.35">
      <c r="A426" s="30" t="s">
        <v>130</v>
      </c>
      <c r="B426" s="30" t="s">
        <v>137</v>
      </c>
      <c r="D426" s="30" t="s">
        <v>136</v>
      </c>
      <c r="E426" s="30" t="s">
        <v>122</v>
      </c>
      <c r="F426" s="30" t="s">
        <v>11</v>
      </c>
      <c r="G426" s="38"/>
      <c r="H426" s="38"/>
      <c r="I426" s="38"/>
      <c r="J426" s="38"/>
      <c r="K426" s="142"/>
      <c r="L426" s="38"/>
      <c r="M426" s="38"/>
      <c r="N426" s="38"/>
      <c r="O426" s="38"/>
      <c r="P426" s="141"/>
      <c r="Q426" s="38"/>
      <c r="R426" s="38"/>
      <c r="S426" s="38"/>
      <c r="T426" s="38"/>
      <c r="U426" s="38">
        <v>28050</v>
      </c>
      <c r="V426" s="38">
        <v>54</v>
      </c>
      <c r="W426" s="38">
        <v>316</v>
      </c>
      <c r="X426" s="38">
        <v>102250</v>
      </c>
      <c r="Y426" s="30" t="s">
        <v>66</v>
      </c>
    </row>
    <row r="427" spans="1:25" ht="14.5" customHeight="1" x14ac:dyDescent="0.35">
      <c r="A427" s="30" t="s">
        <v>130</v>
      </c>
      <c r="B427" s="30" t="s">
        <v>137</v>
      </c>
      <c r="D427" s="30" t="s">
        <v>136</v>
      </c>
      <c r="E427" s="30" t="s">
        <v>122</v>
      </c>
      <c r="F427" s="30" t="s">
        <v>11</v>
      </c>
      <c r="G427" s="38"/>
      <c r="H427" s="38"/>
      <c r="I427" s="38"/>
      <c r="J427" s="38"/>
      <c r="K427" s="142"/>
      <c r="L427" s="38"/>
      <c r="M427" s="38"/>
      <c r="N427" s="38"/>
      <c r="O427" s="38"/>
      <c r="P427" s="141"/>
      <c r="Q427" s="38"/>
      <c r="R427" s="38"/>
      <c r="S427" s="38"/>
      <c r="T427" s="38"/>
      <c r="U427" s="38">
        <v>32321</v>
      </c>
      <c r="V427" s="38">
        <v>56</v>
      </c>
      <c r="W427" s="38">
        <v>288</v>
      </c>
      <c r="X427" s="38">
        <v>71387</v>
      </c>
      <c r="Y427" s="30" t="s">
        <v>65</v>
      </c>
    </row>
    <row r="428" spans="1:25" ht="14.5" customHeight="1" x14ac:dyDescent="0.35">
      <c r="A428" s="30" t="s">
        <v>130</v>
      </c>
      <c r="B428" s="30" t="s">
        <v>137</v>
      </c>
      <c r="D428" s="30" t="s">
        <v>136</v>
      </c>
      <c r="E428" s="30" t="s">
        <v>122</v>
      </c>
      <c r="F428" s="30" t="s">
        <v>11</v>
      </c>
      <c r="G428" s="38"/>
      <c r="H428" s="38"/>
      <c r="I428" s="38"/>
      <c r="J428" s="38"/>
      <c r="K428" s="142"/>
      <c r="L428" s="38"/>
      <c r="M428" s="38"/>
      <c r="N428" s="38"/>
      <c r="O428" s="38"/>
      <c r="P428" s="141"/>
      <c r="Q428" s="38"/>
      <c r="R428" s="38"/>
      <c r="S428" s="38"/>
      <c r="T428" s="38"/>
      <c r="U428" s="38">
        <v>37852</v>
      </c>
      <c r="V428" s="38">
        <v>50</v>
      </c>
      <c r="W428" s="38">
        <v>261</v>
      </c>
      <c r="X428" s="38">
        <v>91380</v>
      </c>
      <c r="Y428" s="30" t="s">
        <v>65</v>
      </c>
    </row>
    <row r="429" spans="1:25" ht="14.5" customHeight="1" x14ac:dyDescent="0.35">
      <c r="A429" s="30" t="s">
        <v>130</v>
      </c>
      <c r="B429" s="30" t="s">
        <v>137</v>
      </c>
      <c r="D429" s="30" t="s">
        <v>136</v>
      </c>
      <c r="E429" s="30" t="s">
        <v>122</v>
      </c>
      <c r="F429" s="30" t="s">
        <v>11</v>
      </c>
      <c r="G429" s="38"/>
      <c r="H429" s="38"/>
      <c r="I429" s="38"/>
      <c r="J429" s="38"/>
      <c r="K429" s="142"/>
      <c r="L429" s="38"/>
      <c r="M429" s="38"/>
      <c r="N429" s="38"/>
      <c r="O429" s="38"/>
      <c r="P429" s="141"/>
      <c r="Q429" s="38"/>
      <c r="R429" s="38"/>
      <c r="S429" s="38"/>
      <c r="T429" s="38"/>
      <c r="U429" s="38">
        <v>31873</v>
      </c>
      <c r="V429" s="38">
        <v>52</v>
      </c>
      <c r="W429" s="38">
        <v>266</v>
      </c>
      <c r="X429" s="38">
        <v>82456</v>
      </c>
      <c r="Y429" s="30" t="s">
        <v>65</v>
      </c>
    </row>
    <row r="430" spans="1:25" ht="14.5" customHeight="1" x14ac:dyDescent="0.35">
      <c r="A430" s="30" t="s">
        <v>130</v>
      </c>
      <c r="B430" s="30" t="s">
        <v>137</v>
      </c>
      <c r="D430" s="30" t="s">
        <v>136</v>
      </c>
      <c r="E430" s="30" t="s">
        <v>122</v>
      </c>
      <c r="F430" s="30" t="s">
        <v>11</v>
      </c>
      <c r="G430" s="38"/>
      <c r="H430" s="38"/>
      <c r="I430" s="38"/>
      <c r="J430" s="38"/>
      <c r="K430" s="142"/>
      <c r="L430" s="38"/>
      <c r="M430" s="38"/>
      <c r="N430" s="38"/>
      <c r="O430" s="38"/>
      <c r="P430" s="141"/>
      <c r="Q430" s="38"/>
      <c r="R430" s="38"/>
      <c r="S430" s="38"/>
      <c r="T430" s="38"/>
      <c r="U430" s="38">
        <v>31274</v>
      </c>
      <c r="V430" s="38">
        <v>52</v>
      </c>
      <c r="W430" s="38">
        <v>282</v>
      </c>
      <c r="X430" s="38">
        <v>89471</v>
      </c>
      <c r="Y430" s="30" t="s">
        <v>65</v>
      </c>
    </row>
    <row r="431" spans="1:25" ht="14.5" customHeight="1" x14ac:dyDescent="0.35">
      <c r="A431" s="30" t="s">
        <v>130</v>
      </c>
      <c r="B431" s="30" t="s">
        <v>137</v>
      </c>
      <c r="C431" s="30" t="s">
        <v>124</v>
      </c>
      <c r="D431" s="30" t="s">
        <v>136</v>
      </c>
      <c r="E431" s="30" t="s">
        <v>122</v>
      </c>
      <c r="F431" s="30" t="s">
        <v>11</v>
      </c>
      <c r="G431" s="38"/>
      <c r="H431" s="38"/>
      <c r="I431" s="38"/>
      <c r="J431" s="38"/>
      <c r="K431" s="142"/>
      <c r="L431" s="38"/>
      <c r="M431" s="38"/>
      <c r="N431" s="38"/>
      <c r="O431" s="38"/>
      <c r="P431" s="141"/>
      <c r="Q431" s="38"/>
      <c r="R431" s="38"/>
      <c r="S431" s="38"/>
      <c r="T431" s="38"/>
      <c r="U431" s="38">
        <v>36909</v>
      </c>
      <c r="V431" s="38">
        <v>51</v>
      </c>
      <c r="W431" s="38">
        <v>272</v>
      </c>
      <c r="X431" s="38">
        <v>90009</v>
      </c>
      <c r="Y431" s="30" t="s">
        <v>65</v>
      </c>
    </row>
    <row r="432" spans="1:25" ht="14.5" customHeight="1" x14ac:dyDescent="0.35">
      <c r="A432" s="30" t="s">
        <v>130</v>
      </c>
      <c r="B432" s="30" t="s">
        <v>137</v>
      </c>
      <c r="C432" s="30" t="s">
        <v>124</v>
      </c>
      <c r="D432" s="30" t="s">
        <v>136</v>
      </c>
      <c r="E432" s="30" t="s">
        <v>122</v>
      </c>
      <c r="F432" s="30" t="s">
        <v>11</v>
      </c>
      <c r="G432" s="38"/>
      <c r="H432" s="38"/>
      <c r="I432" s="38"/>
      <c r="J432" s="38"/>
      <c r="K432" s="142"/>
      <c r="L432" s="38"/>
      <c r="M432" s="38"/>
      <c r="N432" s="38"/>
      <c r="O432" s="38"/>
      <c r="P432" s="141"/>
      <c r="Q432" s="38"/>
      <c r="R432" s="38"/>
      <c r="S432" s="38"/>
      <c r="T432" s="38"/>
      <c r="U432" s="38">
        <v>36909</v>
      </c>
      <c r="V432" s="38">
        <v>51</v>
      </c>
      <c r="W432" s="38">
        <v>272</v>
      </c>
      <c r="X432" s="38">
        <v>90009</v>
      </c>
      <c r="Y432" s="30" t="s">
        <v>65</v>
      </c>
    </row>
    <row r="433" spans="1:25" ht="14.5" customHeight="1" x14ac:dyDescent="0.35">
      <c r="A433" s="30" t="s">
        <v>130</v>
      </c>
      <c r="B433" s="30" t="s">
        <v>137</v>
      </c>
      <c r="C433" s="30" t="s">
        <v>124</v>
      </c>
      <c r="D433" s="30" t="s">
        <v>136</v>
      </c>
      <c r="E433" s="30" t="s">
        <v>122</v>
      </c>
      <c r="F433" s="30" t="s">
        <v>11</v>
      </c>
      <c r="G433" s="38"/>
      <c r="H433" s="38"/>
      <c r="I433" s="38"/>
      <c r="J433" s="38"/>
      <c r="K433" s="142"/>
      <c r="L433" s="38"/>
      <c r="M433" s="38"/>
      <c r="N433" s="38"/>
      <c r="O433" s="38"/>
      <c r="P433" s="141"/>
      <c r="Q433" s="38"/>
      <c r="R433" s="38"/>
      <c r="S433" s="38"/>
      <c r="T433" s="38"/>
      <c r="U433" s="38">
        <v>36909</v>
      </c>
      <c r="V433" s="38">
        <v>51</v>
      </c>
      <c r="W433" s="38">
        <v>272</v>
      </c>
      <c r="X433" s="38">
        <v>90009</v>
      </c>
      <c r="Y433" s="30" t="s">
        <v>65</v>
      </c>
    </row>
    <row r="434" spans="1:25" ht="14.5" customHeight="1" x14ac:dyDescent="0.35">
      <c r="A434" s="30" t="s">
        <v>130</v>
      </c>
      <c r="B434" s="30" t="s">
        <v>137</v>
      </c>
      <c r="C434" s="30" t="s">
        <v>124</v>
      </c>
      <c r="D434" s="30" t="s">
        <v>136</v>
      </c>
      <c r="E434" s="30" t="s">
        <v>122</v>
      </c>
      <c r="F434" s="30" t="s">
        <v>11</v>
      </c>
      <c r="G434" s="38"/>
      <c r="H434" s="38"/>
      <c r="I434" s="38"/>
      <c r="J434" s="38"/>
      <c r="K434" s="142"/>
      <c r="L434" s="38"/>
      <c r="M434" s="38"/>
      <c r="N434" s="38"/>
      <c r="O434" s="38"/>
      <c r="P434" s="141"/>
      <c r="Q434" s="38"/>
      <c r="R434" s="38"/>
      <c r="S434" s="38"/>
      <c r="T434" s="38"/>
      <c r="U434" s="38">
        <v>36909</v>
      </c>
      <c r="V434" s="38">
        <v>51</v>
      </c>
      <c r="W434" s="38">
        <v>272</v>
      </c>
      <c r="X434" s="38">
        <v>90009</v>
      </c>
      <c r="Y434" s="30" t="s">
        <v>65</v>
      </c>
    </row>
    <row r="435" spans="1:25" ht="14.5" customHeight="1" x14ac:dyDescent="0.35">
      <c r="A435" s="30" t="s">
        <v>130</v>
      </c>
      <c r="B435" s="30" t="s">
        <v>137</v>
      </c>
      <c r="C435" s="30" t="s">
        <v>124</v>
      </c>
      <c r="D435" s="30" t="s">
        <v>136</v>
      </c>
      <c r="E435" s="30" t="s">
        <v>122</v>
      </c>
      <c r="F435" s="30" t="s">
        <v>11</v>
      </c>
      <c r="G435" s="38"/>
      <c r="H435" s="38"/>
      <c r="I435" s="38"/>
      <c r="J435" s="38"/>
      <c r="K435" s="142"/>
      <c r="L435" s="38"/>
      <c r="M435" s="38"/>
      <c r="N435" s="38"/>
      <c r="O435" s="38"/>
      <c r="P435" s="141"/>
      <c r="Q435" s="38"/>
      <c r="R435" s="38"/>
      <c r="S435" s="38"/>
      <c r="T435" s="38"/>
      <c r="U435" s="38">
        <v>36909</v>
      </c>
      <c r="V435" s="38">
        <v>51</v>
      </c>
      <c r="W435" s="38">
        <v>272</v>
      </c>
      <c r="X435" s="38">
        <v>90009</v>
      </c>
      <c r="Y435" s="30" t="s">
        <v>65</v>
      </c>
    </row>
    <row r="436" spans="1:25" ht="14.5" customHeight="1" x14ac:dyDescent="0.35">
      <c r="A436" s="30" t="s">
        <v>130</v>
      </c>
      <c r="B436" s="30" t="s">
        <v>137</v>
      </c>
      <c r="C436" s="30" t="s">
        <v>124</v>
      </c>
      <c r="D436" s="30" t="s">
        <v>136</v>
      </c>
      <c r="E436" s="30" t="s">
        <v>122</v>
      </c>
      <c r="F436" s="30" t="s">
        <v>11</v>
      </c>
      <c r="G436" s="38"/>
      <c r="H436" s="38"/>
      <c r="I436" s="38"/>
      <c r="J436" s="38"/>
      <c r="K436" s="142"/>
      <c r="L436" s="38"/>
      <c r="M436" s="38"/>
      <c r="N436" s="38"/>
      <c r="O436" s="38"/>
      <c r="P436" s="141"/>
      <c r="Q436" s="38"/>
      <c r="R436" s="38"/>
      <c r="S436" s="38"/>
      <c r="T436" s="38"/>
      <c r="U436" s="38">
        <v>36909</v>
      </c>
      <c r="V436" s="38">
        <v>51</v>
      </c>
      <c r="W436" s="38">
        <v>272</v>
      </c>
      <c r="X436" s="38">
        <v>90009</v>
      </c>
      <c r="Y436" s="30" t="s">
        <v>65</v>
      </c>
    </row>
    <row r="437" spans="1:25" ht="14.5" customHeight="1" x14ac:dyDescent="0.35">
      <c r="A437" s="30" t="s">
        <v>130</v>
      </c>
      <c r="B437" s="30" t="s">
        <v>137</v>
      </c>
      <c r="C437" s="30" t="s">
        <v>124</v>
      </c>
      <c r="D437" s="30" t="s">
        <v>136</v>
      </c>
      <c r="E437" s="30" t="s">
        <v>122</v>
      </c>
      <c r="F437" s="30" t="s">
        <v>11</v>
      </c>
      <c r="G437" s="38"/>
      <c r="H437" s="38"/>
      <c r="I437" s="38"/>
      <c r="J437" s="38"/>
      <c r="K437" s="142"/>
      <c r="L437" s="38"/>
      <c r="M437" s="38"/>
      <c r="N437" s="38"/>
      <c r="O437" s="38"/>
      <c r="P437" s="141"/>
      <c r="Q437" s="38"/>
      <c r="R437" s="38"/>
      <c r="S437" s="38"/>
      <c r="T437" s="38"/>
      <c r="U437" s="38">
        <v>36909</v>
      </c>
      <c r="V437" s="38">
        <v>51</v>
      </c>
      <c r="W437" s="38">
        <v>272</v>
      </c>
      <c r="X437" s="38">
        <v>90009</v>
      </c>
      <c r="Y437" s="30" t="s">
        <v>65</v>
      </c>
    </row>
    <row r="438" spans="1:25" x14ac:dyDescent="0.35">
      <c r="K438" s="30"/>
    </row>
    <row r="439" spans="1:25" x14ac:dyDescent="0.35">
      <c r="A439" s="30" t="s">
        <v>138</v>
      </c>
      <c r="B439" s="49"/>
    </row>
  </sheetData>
  <customSheetViews>
    <customSheetView guid="{D3B96324-F501-48FE-9FB5-D5CAA0435798}" scale="70">
      <pane ySplit="1" topLeftCell="A56" activePane="bottomLeft" state="frozen"/>
      <selection pane="bottomLeft" activeCell="S38" sqref="S38"/>
      <pageMargins left="0" right="0" top="0" bottom="0" header="0" footer="0"/>
      <pageSetup orientation="portrait" horizontalDpi="300" verticalDpi="300" r:id="rId1"/>
    </customSheetView>
    <customSheetView guid="{DCECD019-2153-4FC6-B239-22C55039ABFE}" scale="70">
      <pane ySplit="1" topLeftCell="A56" activePane="bottomLeft" state="frozen"/>
      <selection pane="bottomLeft" activeCell="S38" sqref="S38"/>
      <pageMargins left="0" right="0" top="0" bottom="0" header="0" footer="0"/>
      <pageSetup orientation="portrait" horizontalDpi="300" verticalDpi="300" r:id="rId2"/>
    </customSheetView>
  </customSheetViews>
  <pageMargins left="0.7" right="0.7" top="0.75" bottom="0.75" header="0.3" footer="0.3"/>
  <pageSetup orientation="portrait" horizontalDpi="300" verticalDpi="300"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C6C71-F439-477C-8D34-1B3E22C7E774}">
  <sheetPr>
    <tabColor rgb="FF00B0F0"/>
  </sheetPr>
  <dimension ref="A1"/>
  <sheetViews>
    <sheetView showGridLines="0" zoomScale="75" zoomScaleNormal="75" workbookViewId="0">
      <selection activeCell="AB56" sqref="AB56"/>
    </sheetView>
  </sheetViews>
  <sheetFormatPr defaultRowHeight="14.5" x14ac:dyDescent="0.35"/>
  <sheetData>
    <row r="1" spans="1:1" ht="28.5" x14ac:dyDescent="0.65">
      <c r="A1" s="197" t="s">
        <v>139</v>
      </c>
    </row>
  </sheetData>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0F427-CA0B-4677-904C-95AF43609DDB}">
  <sheetPr>
    <tabColor rgb="FF00B0F0"/>
  </sheetPr>
  <dimension ref="A1"/>
  <sheetViews>
    <sheetView showGridLines="0" topLeftCell="A28" zoomScale="75" zoomScaleNormal="75" workbookViewId="0">
      <selection activeCell="AB26" sqref="AB26"/>
    </sheetView>
  </sheetViews>
  <sheetFormatPr defaultRowHeight="14.5" x14ac:dyDescent="0.35"/>
  <sheetData>
    <row r="1" spans="1:1" ht="28.5" x14ac:dyDescent="0.65">
      <c r="A1" s="197" t="s">
        <v>140</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90287-9912-490A-8A06-AE084459CCF9}">
  <sheetPr>
    <tabColor rgb="FF00B0F0"/>
  </sheetPr>
  <dimension ref="A1"/>
  <sheetViews>
    <sheetView showGridLines="0" topLeftCell="A4" zoomScale="75" zoomScaleNormal="75" workbookViewId="0">
      <selection activeCell="E1" sqref="E1"/>
    </sheetView>
  </sheetViews>
  <sheetFormatPr defaultRowHeight="14.5" x14ac:dyDescent="0.35"/>
  <sheetData>
    <row r="1" spans="1:1" ht="28.5" x14ac:dyDescent="0.65">
      <c r="A1" s="197" t="s">
        <v>141</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BE1AF-B4DA-4752-8EF6-9582DA193C7F}">
  <sheetPr>
    <tabColor rgb="FF00B0F0"/>
  </sheetPr>
  <dimension ref="A1"/>
  <sheetViews>
    <sheetView showGridLines="0" zoomScale="75" zoomScaleNormal="75" workbookViewId="0">
      <selection activeCell="AH35" sqref="AH35"/>
    </sheetView>
  </sheetViews>
  <sheetFormatPr defaultRowHeight="14.5" x14ac:dyDescent="0.35"/>
  <sheetData>
    <row r="1" spans="1:1" ht="28.5" x14ac:dyDescent="0.65">
      <c r="A1" s="197" t="s">
        <v>142</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8A56148EEF6E94E8BFBBECD7BEB1859" ma:contentTypeVersion="4" ma:contentTypeDescription="Create a new document." ma:contentTypeScope="" ma:versionID="e4b9a07f487925510e1e547b00b98690">
  <xsd:schema xmlns:xsd="http://www.w3.org/2001/XMLSchema" xmlns:xs="http://www.w3.org/2001/XMLSchema" xmlns:p="http://schemas.microsoft.com/office/2006/metadata/properties" xmlns:ns2="f1fe662c-ea7d-4085-8c7a-3eb60b310a8b" targetNamespace="http://schemas.microsoft.com/office/2006/metadata/properties" ma:root="true" ma:fieldsID="b290abf458b409ba0c347782833d376c" ns2:_="">
    <xsd:import namespace="f1fe662c-ea7d-4085-8c7a-3eb60b310a8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1fe662c-ea7d-4085-8c7a-3eb60b310a8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4950174-91AB-4C16-8FC5-2E089E028D90}">
  <ds:schemaRefs>
    <ds:schemaRef ds:uri="f1fe662c-ea7d-4085-8c7a-3eb60b310a8b"/>
    <ds:schemaRef ds:uri="http://schemas.microsoft.com/office/infopath/2007/PartnerControls"/>
    <ds:schemaRef ds:uri="http://schemas.microsoft.com/office/2006/documentManagement/types"/>
    <ds:schemaRef ds:uri="http://schemas.openxmlformats.org/package/2006/metadata/core-properties"/>
    <ds:schemaRef ds:uri="http://purl.org/dc/elements/1.1/"/>
    <ds:schemaRef ds:uri="http://purl.org/dc/terms/"/>
    <ds:schemaRef ds:uri="http://purl.org/dc/dcmitype/"/>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93BEDB6A-94C4-4323-BF6B-1316895B86FB}">
  <ds:schemaRefs>
    <ds:schemaRef ds:uri="http://schemas.microsoft.com/sharepoint/v3/contenttype/forms"/>
  </ds:schemaRefs>
</ds:datastoreItem>
</file>

<file path=customXml/itemProps3.xml><?xml version="1.0" encoding="utf-8"?>
<ds:datastoreItem xmlns:ds="http://schemas.openxmlformats.org/officeDocument/2006/customXml" ds:itemID="{43F274AE-DAD5-45A6-B1D8-64D68487599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1fe662c-ea7d-4085-8c7a-3eb60b310a8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1. Introduction</vt:lpstr>
      <vt:lpstr>2. Version 3.0 Criteria</vt:lpstr>
      <vt:lpstr>3. Energy and Cost Savings</vt:lpstr>
      <vt:lpstr>4. Incremental Cost and Payback</vt:lpstr>
      <vt:lpstr>5. Oven Data</vt:lpstr>
      <vt:lpstr>6. Elec. Combi 5-40 Pans Charts</vt:lpstr>
      <vt:lpstr>7. Elec. 3-4 Pan and 2_3 Charts</vt:lpstr>
      <vt:lpstr>8. Gas Combi Charts</vt:lpstr>
      <vt:lpstr>9. Electric Convection Charts</vt:lpstr>
      <vt:lpstr>10. Gas Convection Chart</vt:lpstr>
      <vt:lpstr>11. Gas Rack Charts</vt:lpstr>
      <vt:lpstr>12.Water Consump. Charts_Data</vt:lpstr>
      <vt:lpstr>13. MS ENERGY STAR</vt:lpstr>
      <vt:lpstr>Graph Electric combi Full+half</vt:lpstr>
      <vt:lpstr>water consump. (2)</vt:lpstr>
      <vt:lpstr>OldData_full+half_combiE</vt:lpstr>
      <vt:lpstr>OldGraph_2_3rd_CombiE</vt:lpstr>
      <vt:lpstr>OldData_2_3rd_CombiE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Fogle, Ryan</dc:creator>
  <cp:keywords/>
  <dc:description/>
  <cp:lastModifiedBy>Williams, Jacelyn</cp:lastModifiedBy>
  <cp:revision/>
  <dcterms:created xsi:type="dcterms:W3CDTF">2019-08-19T15:28:58Z</dcterms:created>
  <dcterms:modified xsi:type="dcterms:W3CDTF">2022-02-28T17:40:52Z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0x01010078A56148EEF6E94E8BFBBECD7BEB1859</vt:lpwstr>
  </property>
</Properties>
</file>